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5" yWindow="45" windowWidth="15480" windowHeight="11415" tabRatio="799" activeTab="2"/>
  </bookViews>
  <sheets>
    <sheet name="Regras de Utilização" sheetId="1" r:id="rId1"/>
    <sheet name="Pressupostos" sheetId="2" r:id="rId2"/>
    <sheet name="VN" sheetId="3" r:id="rId3"/>
    <sheet name="CMVMC" sheetId="4" r:id="rId4"/>
    <sheet name="FSE" sheetId="5" r:id="rId5"/>
    <sheet name="Custos Pessoal" sheetId="6" r:id="rId6"/>
    <sheet name="FundoManeio" sheetId="7" r:id="rId7"/>
    <sheet name="Investimento" sheetId="8" r:id="rId8"/>
    <sheet name="Financiamento" sheetId="9" r:id="rId9"/>
    <sheet name="DR" sheetId="10" r:id="rId10"/>
    <sheet name="Cash Flow" sheetId="11" r:id="rId11"/>
    <sheet name="PlanoFinanceiro" sheetId="12" r:id="rId12"/>
    <sheet name="Balanço" sheetId="13" r:id="rId13"/>
    <sheet name="Indicadores" sheetId="14" r:id="rId14"/>
    <sheet name="Avaliação" sheetId="15" r:id="rId15"/>
    <sheet name="Calculos Auxiliares" sheetId="16" r:id="rId16"/>
  </sheets>
  <externalReferences>
    <externalReference r:id="rId19"/>
    <externalReference r:id="rId20"/>
  </externalReferences>
  <definedNames>
    <definedName name="anscount" hidden="1">1</definedName>
    <definedName name="_xlnm.Print_Area" localSheetId="14">'Avaliação'!$A$1:$I$46</definedName>
    <definedName name="_xlnm.Print_Area" localSheetId="12">'Balanço'!$A$1:$H$49</definedName>
    <definedName name="_xlnm.Print_Area" localSheetId="15">'Calculos Auxiliares'!$A$1:$H$91</definedName>
    <definedName name="_xlnm.Print_Area" localSheetId="10">'Cash Flow'!$A$1:$H$23</definedName>
    <definedName name="_xlnm.Print_Area" localSheetId="3">'CMVMC'!$A$1:$H$29</definedName>
    <definedName name="_xlnm.Print_Area" localSheetId="5">'Custos Pessoal'!$A$1:$I$87</definedName>
    <definedName name="_xlnm.Print_Area" localSheetId="9">'DR'!$A$1:$G$37</definedName>
    <definedName name="_xlnm.Print_Area" localSheetId="8">'Financiamento'!$A$1:$H$80</definedName>
    <definedName name="_xlnm.Print_Area" localSheetId="4">'FSE'!$A$1:$K$49</definedName>
    <definedName name="_xlnm.Print_Area" localSheetId="6">'FundoManeio'!$A$1:$H$26</definedName>
    <definedName name="_xlnm.Print_Area" localSheetId="13">'Indicadores'!$A$1:$G$52</definedName>
    <definedName name="_xlnm.Print_Area" localSheetId="7">'Investimento'!$A$1:$H$138</definedName>
    <definedName name="_xlnm.Print_Area" localSheetId="11">'PlanoFinanceiro'!$A$1:$H$35</definedName>
    <definedName name="_xlnm.Print_Area" localSheetId="1">'Pressupostos'!$A$1:$E$45</definedName>
    <definedName name="_xlnm.Print_Area" localSheetId="0">'Regras de Utilização'!$B$1:$C$39</definedName>
    <definedName name="_xlnm.Print_Area" localSheetId="2">'VN'!$A$1:$H$88</definedName>
    <definedName name="Bu">'[1]INPUT'!$B$10</definedName>
    <definedName name="DC">'[1]INPUT'!$B$8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5">'Custos Pessoal'!$1:$4</definedName>
    <definedName name="_xlnm.Print_Titles" localSheetId="8">'Financiamento'!$1:$6</definedName>
    <definedName name="_xlnm.Print_Titles" localSheetId="2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<sst xmlns="http://schemas.openxmlformats.org/spreadsheetml/2006/main" count="591" uniqueCount="418">
  <si>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</si>
  <si>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</si>
  <si>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</si>
  <si>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</si>
  <si>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</si>
  <si>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</si>
  <si>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</si>
  <si>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</si>
  <si>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</si>
  <si>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</si>
  <si>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</si>
  <si>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Passivo Médio e Longo Prazo</t>
  </si>
  <si>
    <t>Custo</t>
  </si>
  <si>
    <t>Custos com o Pessoal</t>
  </si>
  <si>
    <t>% DOS CUSTOS DE ESTRUTURA S/VN</t>
  </si>
  <si>
    <t>Margem Bruta de Contribuição</t>
  </si>
  <si>
    <t>Taxa de Juro</t>
  </si>
  <si>
    <t>Juro Anual</t>
  </si>
  <si>
    <t>Reembolso Anual</t>
  </si>
  <si>
    <t>Financiamento</t>
  </si>
  <si>
    <t>Solvabilidade Total</t>
  </si>
  <si>
    <t>Liquidez Geral</t>
  </si>
  <si>
    <t>Liquidez Reduzida</t>
  </si>
  <si>
    <t>Capitais Permanentes</t>
  </si>
  <si>
    <t>Activo Fixo</t>
  </si>
  <si>
    <t>NECESSIDADES FUNDO DE MANEIO</t>
  </si>
  <si>
    <t>Tesouraria Activa</t>
  </si>
  <si>
    <t>Tesouraria Passiva</t>
  </si>
  <si>
    <t>CONTROLO : TRL = FML - NFM</t>
  </si>
  <si>
    <t>Fornecedores</t>
  </si>
  <si>
    <t>Taxa</t>
  </si>
  <si>
    <t>Volume de Negócios</t>
  </si>
  <si>
    <t>Autonomia Financeira</t>
  </si>
  <si>
    <t>EMPRESA:</t>
  </si>
  <si>
    <t xml:space="preserve">TOTAL FSE  </t>
  </si>
  <si>
    <t>CMVMC</t>
  </si>
  <si>
    <t>Resultado Económico</t>
  </si>
  <si>
    <t>Seguros Acidentes de Trabalho</t>
  </si>
  <si>
    <t>Ano 0</t>
  </si>
  <si>
    <t>Ano 1</t>
  </si>
  <si>
    <t>Ano 2</t>
  </si>
  <si>
    <t>Ano 3</t>
  </si>
  <si>
    <t>Ano 4</t>
  </si>
  <si>
    <t>Ano 5</t>
  </si>
  <si>
    <t>Imobilizado Incorpóreo</t>
  </si>
  <si>
    <t>Imobilizado Corpóreo</t>
  </si>
  <si>
    <t xml:space="preserve">   Terrrenos e recursos naturais</t>
  </si>
  <si>
    <t xml:space="preserve">   Equipamento básico</t>
  </si>
  <si>
    <t xml:space="preserve">   Equipamento de transporte</t>
  </si>
  <si>
    <t xml:space="preserve">   Equipamento administrativo</t>
  </si>
  <si>
    <t xml:space="preserve">   Taras e vasilhame</t>
  </si>
  <si>
    <t xml:space="preserve">   Outras imobilizações corpóreas</t>
  </si>
  <si>
    <t xml:space="preserve">   Despesas de Instalação</t>
  </si>
  <si>
    <t xml:space="preserve">   Despesas de I&amp;D</t>
  </si>
  <si>
    <t xml:space="preserve">   Propriedade Industrial e O.Direitos</t>
  </si>
  <si>
    <t xml:space="preserve">   Trespasses</t>
  </si>
  <si>
    <t>Total Imobilizado Incorpóreo</t>
  </si>
  <si>
    <t>Total Imobilizado Corpóreo</t>
  </si>
  <si>
    <t>Subcontratos</t>
  </si>
  <si>
    <t>Outros Fluidos</t>
  </si>
  <si>
    <t>Royalties</t>
  </si>
  <si>
    <t>Deslocações e estadas</t>
  </si>
  <si>
    <t>Comissões</t>
  </si>
  <si>
    <t>Pessoal</t>
  </si>
  <si>
    <t>Nº Meses</t>
  </si>
  <si>
    <t>Outros custos variáveis (FSE)</t>
  </si>
  <si>
    <t>FSE- Custos Fixos</t>
  </si>
  <si>
    <t>Outros Custos Operacionais</t>
  </si>
  <si>
    <t>FSE - Custos Variáveis</t>
  </si>
  <si>
    <t>FSE - Custos Fixos</t>
  </si>
  <si>
    <t>Electricidade</t>
  </si>
  <si>
    <t>Combustiveis</t>
  </si>
  <si>
    <t>Agua</t>
  </si>
  <si>
    <t>Ferramentas e Utensilios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</si>
  <si>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</si>
  <si>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</si>
  <si>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</si>
  <si>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</si>
  <si>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</si>
  <si>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</si>
  <si>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</si>
  <si>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</si>
  <si>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</si>
  <si>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</si>
  <si>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Outros forn. e serviços</t>
  </si>
  <si>
    <t>Honorários</t>
  </si>
  <si>
    <t xml:space="preserve">Formação </t>
  </si>
  <si>
    <t>TOTAL</t>
  </si>
  <si>
    <t>Amortizações do Exercício</t>
  </si>
  <si>
    <t>Amortizações Acumuladas</t>
  </si>
  <si>
    <t xml:space="preserve">Vendas </t>
  </si>
  <si>
    <t>Impostos</t>
  </si>
  <si>
    <t>% de Vendas</t>
  </si>
  <si>
    <t>Amortizações</t>
  </si>
  <si>
    <t>Custos Financeiros</t>
  </si>
  <si>
    <t>Proveitos Financeiros</t>
  </si>
  <si>
    <t>RESULTADO FINANCEIRO</t>
  </si>
  <si>
    <t>Impostos sobre os lucros</t>
  </si>
  <si>
    <t>EBITDA</t>
  </si>
  <si>
    <t>EBIT</t>
  </si>
  <si>
    <t>RAI</t>
  </si>
  <si>
    <t>Prestações de Serviços</t>
  </si>
  <si>
    <t>ACTIVO</t>
  </si>
  <si>
    <t>Existências</t>
  </si>
  <si>
    <t>Clientes</t>
  </si>
  <si>
    <t>Estado</t>
  </si>
  <si>
    <t>TOTAL ACTIVO</t>
  </si>
  <si>
    <t>Capital Social</t>
  </si>
  <si>
    <t>PASSIVO</t>
  </si>
  <si>
    <t>TOTAL PASSIVO</t>
  </si>
  <si>
    <t>Unidade monetária</t>
  </si>
  <si>
    <t>Custos com Pessoal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</si>
  <si>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</si>
  <si>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</si>
  <si>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</si>
  <si>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</si>
  <si>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</si>
  <si>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</si>
  <si>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</si>
  <si>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</si>
  <si>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</si>
  <si>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Imobilizado</t>
  </si>
  <si>
    <t>Créditos de curto prazo</t>
  </si>
  <si>
    <t>Disponibilidades</t>
  </si>
  <si>
    <t>Acréscimos e Diferimentos</t>
  </si>
  <si>
    <t>Prestações Suplementares</t>
  </si>
  <si>
    <t>Reservas de reavaliação</t>
  </si>
  <si>
    <t>Provisão para impostos</t>
  </si>
  <si>
    <t>Suprimentos</t>
  </si>
  <si>
    <t>Outros credores</t>
  </si>
  <si>
    <t>Volume de negócios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</si>
  <si>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</si>
  <si>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</si>
  <si>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</si>
  <si>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</si>
  <si>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</si>
  <si>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</si>
  <si>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</si>
  <si>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</si>
  <si>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</si>
  <si>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</si>
  <si>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CV</t>
  </si>
  <si>
    <t>TOTAL FSE</t>
  </si>
  <si>
    <t>Produto A</t>
  </si>
  <si>
    <t>Produto B</t>
  </si>
  <si>
    <t>Produto C</t>
  </si>
  <si>
    <t>Produto D</t>
  </si>
  <si>
    <t>Serviço A</t>
  </si>
  <si>
    <t>Serviço B</t>
  </si>
  <si>
    <t>Serviço C</t>
  </si>
  <si>
    <t>Serviço D</t>
  </si>
  <si>
    <t>Taxa de crescimento das unidades vendidas</t>
  </si>
  <si>
    <t>Outros Custos</t>
  </si>
  <si>
    <t>TOTAL OUTROS CUSTOS</t>
  </si>
  <si>
    <t>TOTAL CUSTOS PESSOAL</t>
  </si>
  <si>
    <t>Segurança Social</t>
  </si>
  <si>
    <t>QUADRO RESUMO</t>
  </si>
  <si>
    <t>Vencimentos</t>
  </si>
  <si>
    <t>Gerência/Administração</t>
  </si>
  <si>
    <t>Encargos</t>
  </si>
  <si>
    <t>Valores Acumulados Balanço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</si>
  <si>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</si>
  <si>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</si>
  <si>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</si>
  <si>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</si>
  <si>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</si>
  <si>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</si>
  <si>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</si>
  <si>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</si>
  <si>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</si>
  <si>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</si>
  <si>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</si>
  <si>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</si>
  <si>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</si>
  <si>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</si>
  <si>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</si>
  <si>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</si>
  <si>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</si>
  <si>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</si>
  <si>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</si>
  <si>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</si>
  <si>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</si>
  <si>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</si>
  <si>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</si>
  <si>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</si>
  <si>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</si>
  <si>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</si>
  <si>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</si>
  <si>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</si>
  <si>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Reservas e Resultados Transitados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</si>
  <si>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</si>
  <si>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</si>
  <si>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</si>
  <si>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</si>
  <si>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</si>
  <si>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</si>
  <si>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</si>
  <si>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distribuição dividendos</t>
  </si>
  <si>
    <t>Taxa de Crescimento do Negócio</t>
  </si>
  <si>
    <t>Eficiência Operacional</t>
  </si>
  <si>
    <t>Margem Operacional das Vendas</t>
  </si>
  <si>
    <t>Rentabilidade Líquida das Vendas</t>
  </si>
  <si>
    <t>Peso dos Custos c/Pessoal nos PO</t>
  </si>
  <si>
    <t>INDICADORES ECONÓMICOS - FINANCEIROS</t>
  </si>
  <si>
    <t>INDICADORES ECONÓMICOS</t>
  </si>
  <si>
    <t>INDICADORES FINANCEIROS</t>
  </si>
  <si>
    <t>Endividamento Total</t>
  </si>
  <si>
    <t>Endividamento ML Prazo</t>
  </si>
  <si>
    <t>INDICADORES DE LIQUIDEZ</t>
  </si>
  <si>
    <t>Return On Investment (ROI)</t>
  </si>
  <si>
    <t>Rendibilidade do Activo</t>
  </si>
  <si>
    <t>Rotação do Activo</t>
  </si>
  <si>
    <t>Rotação do Imobilizado</t>
  </si>
  <si>
    <t>Rendibilidade dos Capitais Próprios (ROE)</t>
  </si>
  <si>
    <t>Rotação dos Capitais Próprios</t>
  </si>
  <si>
    <t>INDICADORES DE RISCO NEGÓCIO</t>
  </si>
  <si>
    <t>Margem de Segurança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</si>
  <si>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</si>
  <si>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</si>
  <si>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</si>
  <si>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</si>
  <si>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</si>
  <si>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</si>
  <si>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</si>
  <si>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</si>
  <si>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</si>
  <si>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Peso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</si>
  <si>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</si>
  <si>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</si>
  <si>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</si>
  <si>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</si>
  <si>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</si>
  <si>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</si>
  <si>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Na sheet Custos Pessoal, definir os colaboradores (Gerência e Pessoal) da empresa e respectivas remunerações brutas mensais. Para além disto, definir, caso se aplique um valor para a formação e outros custos com pessoal;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</si>
  <si>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</si>
  <si>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</si>
  <si>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</si>
  <si>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Produtos Acabados e em Curso</t>
  </si>
  <si>
    <t>Mercadorias</t>
  </si>
  <si>
    <t>(-) Variação da Produção</t>
  </si>
  <si>
    <t>Taxa de juro de empréstimo M/L Prazo</t>
  </si>
  <si>
    <t>Taxa de juro de empréstimo Curto Prazo</t>
  </si>
  <si>
    <t>Taxa de juro de activos sem risco - Rf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</si>
  <si>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</si>
  <si>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</si>
  <si>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</si>
  <si>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</si>
  <si>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</si>
  <si>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</si>
  <si>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</si>
  <si>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IVA PRESTAÇÃO DE SERVIÇOS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</si>
  <si>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</si>
  <si>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</si>
  <si>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</si>
  <si>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Cálculos Auxiliares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</si>
  <si>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</si>
  <si>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</si>
  <si>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</si>
  <si>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</si>
  <si>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</si>
  <si>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</si>
  <si>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</si>
  <si>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</si>
  <si>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</si>
  <si>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</si>
  <si>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Investimento = Capital Fixo + FMN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</si>
  <si>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</si>
  <si>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</si>
  <si>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</si>
  <si>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</si>
  <si>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</si>
  <si>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</si>
  <si>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t>Outros devedores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</si>
  <si>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</si>
  <si>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</si>
  <si>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Consumo de Unidades de Matérias-Primas por Unidade de Produto Acabado</t>
  </si>
  <si>
    <t>Produção (em Quantidades)</t>
  </si>
  <si>
    <t>==&gt; R(Tx actualização) = Rf + pº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</si>
  <si>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</si>
  <si>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</si>
  <si>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</si>
  <si>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</si>
  <si>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</si>
  <si>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Matérias Primas e Subsidiárias (descriminação)</t>
  </si>
  <si>
    <t>Unidade de Medida</t>
  </si>
  <si>
    <t>Produtos</t>
  </si>
  <si>
    <t>Consumo de Matérias Primas 1*</t>
  </si>
  <si>
    <t>Matérias Primas e Subsidiárias</t>
  </si>
  <si>
    <t xml:space="preserve">Matérias Primas e Subsidiárias </t>
  </si>
  <si>
    <t>Valor do consumo 2*</t>
  </si>
  <si>
    <t>Preço das Matérias Primas e Subsidiárias</t>
  </si>
  <si>
    <t>Prazo médio de Recebimento (dias) / (meses)</t>
  </si>
  <si>
    <t>Prazo médio de Pagamento (dias) / (meses)</t>
  </si>
  <si>
    <t>Prazo médio de Stockagem (dias) / (meses)</t>
  </si>
  <si>
    <t>XPTO, Lda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</si>
  <si>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</si>
  <si>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</si>
  <si>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</si>
  <si>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</si>
  <si>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</si>
  <si>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</si>
  <si>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</si>
  <si>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PRESTAÇÃO DE SERVIÇOS - MERCADO NACIONAL</t>
  </si>
  <si>
    <t>TOTAL PRESTAÇÃO DE SERVIÇOS - MERCADO NACIONAL</t>
  </si>
  <si>
    <t>PRESTAÇÃO DE SERVIÇOS - EXPORTAÇÕES</t>
  </si>
  <si>
    <t>TOTAL PRESTAÇÃO DE SERVIÇOS - EXPORTAÇÕES</t>
  </si>
  <si>
    <t>TOTAL PRESTAÇÕES SERVIÇOS</t>
  </si>
  <si>
    <t>Incremento Anual (Vencimentos + Sub. Almoço)</t>
  </si>
  <si>
    <t>Outros Proveitos Operacionais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</si>
  <si>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</si>
  <si>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</si>
  <si>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</si>
  <si>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</si>
  <si>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</si>
  <si>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</si>
  <si>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</si>
  <si>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Livros e doc. técnica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</si>
  <si>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</si>
  <si>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</si>
  <si>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</si>
  <si>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</si>
  <si>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</si>
  <si>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Sub. Alimentação</t>
  </si>
  <si>
    <t>Fundo Maneio Necessário</t>
  </si>
  <si>
    <t>* A considerar caso seja necessário</t>
  </si>
  <si>
    <t>Empréstimos de Sócios / Suprimentos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</si>
  <si>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</si>
  <si>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</si>
  <si>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</si>
  <si>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</si>
  <si>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</si>
  <si>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</si>
  <si>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 xml:space="preserve">RESULTADO LÍQUIDO </t>
  </si>
  <si>
    <t>% DO RESULTADO LÍQUIDO S/VN</t>
  </si>
  <si>
    <t>Amortizações do exercício</t>
  </si>
  <si>
    <t>Provisões do exercício</t>
  </si>
  <si>
    <t>Empréstimos de sócios / suprimentos</t>
  </si>
  <si>
    <t>Aplicações / Empréstimo Curto Prazo</t>
  </si>
  <si>
    <t>Dívidas de Clientes</t>
  </si>
  <si>
    <t>Estado e Outros Entes Públicos</t>
  </si>
  <si>
    <t>CAPITAL PRÓPRIO</t>
  </si>
  <si>
    <t>Resultados Líquidos</t>
  </si>
  <si>
    <t>TOTAL CAPITAIS PRÓPRIOS</t>
  </si>
  <si>
    <t>Dívidas a 3º - M/L Prazo</t>
  </si>
  <si>
    <t>Dívidas a Instituições de Crédito</t>
  </si>
  <si>
    <t>Dívidas a Fornecedores de Imob</t>
  </si>
  <si>
    <t>Dívidas a 3º - Curto Prazo</t>
  </si>
  <si>
    <t>Dívidas a Fornecedores</t>
  </si>
  <si>
    <t>TOTAL PASSIVO + CAPITAIS PRÓPRIOS</t>
  </si>
  <si>
    <t>ANÁLISE DO EQUILÍBRIO FINANCEIRO</t>
  </si>
  <si>
    <t>FUNDO DE MANEIO LÍQUIDO</t>
  </si>
  <si>
    <t>Necessidades Cíclicas</t>
  </si>
  <si>
    <t>Recursos Cíclicos</t>
  </si>
  <si>
    <t>TESOURARIA LÍQUIDA</t>
  </si>
  <si>
    <t>Variação do FML</t>
  </si>
  <si>
    <t>Variação das NFM</t>
  </si>
  <si>
    <t>Variação da TRL</t>
  </si>
  <si>
    <t>Grau de Alavanca Operacional</t>
  </si>
  <si>
    <t>Ponto Crítico</t>
  </si>
  <si>
    <t>Valor Actual Líquido (VAL)</t>
  </si>
  <si>
    <t>Capital Próprio</t>
  </si>
  <si>
    <t>Unidades físicas</t>
  </si>
  <si>
    <t>1* obtido da  multiplicação da produção pelo consumo de matéria prima por unidade de produto acabado.</t>
  </si>
  <si>
    <t>2* obtido da multiplicação do consumo das matérias-primas pelo preço.</t>
  </si>
  <si>
    <t>Custos Extraordinários</t>
  </si>
  <si>
    <t>Proveitos Extraordinários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</si>
  <si>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</si>
  <si>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</si>
  <si>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</si>
  <si>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</si>
  <si>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</si>
  <si>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</si>
  <si>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</si>
  <si>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</si>
  <si>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</si>
  <si>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</si>
  <si>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</si>
  <si>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</si>
  <si>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</si>
  <si>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</si>
  <si>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</si>
  <si>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</si>
  <si>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</si>
  <si>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</si>
  <si>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</si>
  <si>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Taxa de Amortização Anual</t>
  </si>
  <si>
    <t>Máxima</t>
  </si>
  <si>
    <t>S</t>
  </si>
  <si>
    <t>Mínima</t>
  </si>
  <si>
    <t>Investimento por ano</t>
  </si>
  <si>
    <t xml:space="preserve">   Outras Imobilizações Incorpóreas</t>
  </si>
  <si>
    <t xml:space="preserve">   Terrrenos e Recursos Naturais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</si>
  <si>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</si>
  <si>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</si>
  <si>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</si>
  <si>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Ferramentas e Utensilios</t>
  </si>
  <si>
    <t xml:space="preserve">   Equipamento Administrativo</t>
  </si>
  <si>
    <t xml:space="preserve">   Taras e Vasilhame</t>
  </si>
  <si>
    <t xml:space="preserve">   Outras Imobilizações Corpóreas</t>
  </si>
  <si>
    <t>Total Investimento</t>
  </si>
  <si>
    <t>Outras imobilizações incorpóreas</t>
  </si>
  <si>
    <t xml:space="preserve">   Ferramentas e utensilios</t>
  </si>
  <si>
    <t>Total Imobilizado</t>
  </si>
  <si>
    <t>Total Amortizações</t>
  </si>
  <si>
    <t>Ajustamentos de Cobrança Duvidosa</t>
  </si>
  <si>
    <t>Ajustamentos / Provisões</t>
  </si>
  <si>
    <t>Ajustamentos de cobrança duvidosa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</si>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</sst>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</numFmts>
  <fonts count="36">
    <font>
      <sz val="10"/>
      <name val="Tahoma"/>
      <family val="2"/>
    </font>
    <font>
      <sz val="1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 val="single"/>
      <sz val="8"/>
      <color indexed="12"/>
      <name val="Arial Narrow"/>
      <family val="2"/>
    </font>
    <font>
      <sz val="10"/>
      <color indexed="1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63"/>
      </top>
      <bottom style="medium">
        <color indexed="63"/>
      </bottom>
    </border>
    <border>
      <left style="thin">
        <color indexed="22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3"/>
      </bottom>
    </border>
    <border>
      <left style="thin">
        <color indexed="22"/>
      </left>
      <right style="medium">
        <color indexed="63"/>
      </right>
      <top style="thin">
        <color indexed="22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63"/>
      </right>
      <top style="thin">
        <color indexed="22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63"/>
      </bottom>
    </border>
    <border>
      <left style="thin">
        <color indexed="22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63"/>
      </right>
      <top>
        <color indexed="63"/>
      </top>
      <bottom style="thin">
        <color indexed="22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>
      <protection/>
    </xf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" xfId="0" applyNumberFormat="1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168" fontId="13" fillId="0" borderId="1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" xfId="22" applyNumberFormat="1" applyFont="1" applyFill="1" applyBorder="1" applyAlignment="1" applyProtection="1">
      <alignment horizontal="center"/>
      <protection locked="0"/>
    </xf>
    <xf numFmtId="0" fontId="24" fillId="0" borderId="0" xfId="19" applyFont="1" applyFill="1" applyBorder="1" applyProtection="1">
      <alignment/>
      <protection hidden="1"/>
    </xf>
    <xf numFmtId="0" fontId="23" fillId="0" borderId="0" xfId="19" applyFont="1" applyFill="1" applyBorder="1" applyAlignment="1" applyProtection="1">
      <alignment horizontal="left"/>
      <protection hidden="1"/>
    </xf>
    <xf numFmtId="0" fontId="23" fillId="0" borderId="0" xfId="19" applyFont="1" applyFill="1" applyProtection="1">
      <alignment/>
      <protection hidden="1"/>
    </xf>
    <xf numFmtId="0" fontId="4" fillId="0" borderId="0" xfId="19" applyFont="1" applyFill="1" applyProtection="1">
      <alignment/>
      <protection hidden="1"/>
    </xf>
    <xf numFmtId="0" fontId="1" fillId="3" borderId="0" xfId="19" applyFill="1" applyProtection="1">
      <alignment/>
      <protection hidden="1"/>
    </xf>
    <xf numFmtId="0" fontId="24" fillId="0" borderId="0" xfId="19" applyFont="1" applyFill="1" applyProtection="1">
      <alignment/>
      <protection hidden="1"/>
    </xf>
    <xf numFmtId="0" fontId="23" fillId="0" borderId="0" xfId="19" applyFont="1" applyFill="1" applyBorder="1" applyProtection="1">
      <alignment/>
      <protection hidden="1"/>
    </xf>
    <xf numFmtId="0" fontId="4" fillId="0" borderId="0" xfId="19" applyFont="1" applyFill="1" applyBorder="1" applyProtection="1">
      <alignment/>
      <protection hidden="1"/>
    </xf>
    <xf numFmtId="0" fontId="23" fillId="0" borderId="0" xfId="19" applyFont="1" applyFill="1" applyBorder="1" applyAlignment="1" applyProtection="1">
      <alignment vertical="center" wrapText="1"/>
      <protection hidden="1"/>
    </xf>
    <xf numFmtId="0" fontId="23" fillId="0" borderId="0" xfId="19" applyFont="1" applyFill="1" applyBorder="1" applyAlignment="1" applyProtection="1">
      <alignment vertical="center"/>
      <protection hidden="1"/>
    </xf>
    <xf numFmtId="0" fontId="23" fillId="0" borderId="0" xfId="19" applyFont="1" applyFill="1" applyAlignment="1" applyProtection="1">
      <alignment vertical="center" wrapText="1"/>
      <protection hidden="1"/>
    </xf>
    <xf numFmtId="0" fontId="7" fillId="4" borderId="1" xfId="19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2" fontId="4" fillId="3" borderId="0" xfId="22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wrapText="1"/>
      <protection hidden="1"/>
    </xf>
    <xf numFmtId="167" fontId="4" fillId="3" borderId="0" xfId="22" applyNumberFormat="1" applyFont="1" applyFill="1" applyBorder="1" applyAlignment="1" applyProtection="1">
      <alignment/>
      <protection hidden="1"/>
    </xf>
    <xf numFmtId="10" fontId="4" fillId="3" borderId="0" xfId="22" applyNumberFormat="1" applyFont="1" applyFill="1" applyBorder="1" applyAlignment="1" applyProtection="1">
      <alignment/>
      <protection hidden="1"/>
    </xf>
    <xf numFmtId="9" fontId="4" fillId="3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22" applyFont="1" applyFill="1" applyAlignment="1" applyProtection="1">
      <alignment/>
      <protection hidden="1"/>
    </xf>
    <xf numFmtId="2" fontId="4" fillId="0" borderId="0" xfId="22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13" fillId="0" borderId="3" xfId="0" applyFont="1" applyFill="1" applyBorder="1" applyAlignment="1" applyProtection="1">
      <alignment horizontal="right"/>
      <protection locked="0"/>
    </xf>
    <xf numFmtId="172" fontId="13" fillId="0" borderId="3" xfId="0" applyNumberFormat="1" applyFont="1" applyFill="1" applyBorder="1" applyAlignment="1" applyProtection="1">
      <alignment horizontal="right"/>
      <protection hidden="1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hidden="1"/>
    </xf>
    <xf numFmtId="2" fontId="4" fillId="0" borderId="0" xfId="22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9" fontId="13" fillId="0" borderId="4" xfId="22" applyFont="1" applyFill="1" applyBorder="1" applyAlignment="1" applyProtection="1">
      <alignment horizontal="left" indent="1"/>
      <protection hidden="1"/>
    </xf>
    <xf numFmtId="9" fontId="4" fillId="0" borderId="4" xfId="22" applyFont="1" applyFill="1" applyBorder="1" applyAlignment="1" applyProtection="1">
      <alignment/>
      <protection hidden="1"/>
    </xf>
    <xf numFmtId="10" fontId="13" fillId="0" borderId="1" xfId="0" applyNumberFormat="1" applyFont="1" applyFill="1" applyBorder="1" applyAlignment="1" applyProtection="1">
      <alignment/>
      <protection locked="0"/>
    </xf>
    <xf numFmtId="10" fontId="13" fillId="0" borderId="2" xfId="0" applyNumberFormat="1" applyFont="1" applyFill="1" applyBorder="1" applyAlignment="1" applyProtection="1">
      <alignment/>
      <protection locked="0"/>
    </xf>
    <xf numFmtId="9" fontId="13" fillId="0" borderId="4" xfId="22" applyFont="1" applyFill="1" applyBorder="1" applyAlignment="1" applyProtection="1">
      <alignment horizontal="left" vertical="center" indent="1"/>
      <protection hidden="1"/>
    </xf>
    <xf numFmtId="9" fontId="13" fillId="0" borderId="0" xfId="22" applyFont="1" applyFill="1" applyBorder="1" applyAlignment="1" applyProtection="1">
      <alignment horizontal="left" vertical="center" indent="1"/>
      <protection hidden="1"/>
    </xf>
    <xf numFmtId="9" fontId="13" fillId="0" borderId="5" xfId="22" applyFont="1" applyFill="1" applyBorder="1" applyAlignment="1" applyProtection="1">
      <alignment horizontal="left" vertical="center" indent="1"/>
      <protection hidden="1"/>
    </xf>
    <xf numFmtId="2" fontId="13" fillId="0" borderId="2" xfId="0" applyNumberFormat="1" applyFont="1" applyFill="1" applyBorder="1" applyAlignment="1" applyProtection="1">
      <alignment/>
      <protection locked="0"/>
    </xf>
    <xf numFmtId="0" fontId="6" fillId="5" borderId="0" xfId="0" applyFont="1" applyFill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center"/>
      <protection locked="0"/>
    </xf>
    <xf numFmtId="10" fontId="13" fillId="0" borderId="1" xfId="22" applyNumberFormat="1" applyFont="1" applyFill="1" applyBorder="1" applyAlignment="1" applyProtection="1">
      <alignment horizontal="center" vertical="center"/>
      <protection locked="0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0" fontId="13" fillId="0" borderId="1" xfId="22" applyNumberFormat="1" applyFont="1" applyFill="1" applyBorder="1" applyAlignment="1" applyProtection="1">
      <alignment horizontal="right" vertical="center"/>
      <protection locked="0"/>
    </xf>
    <xf numFmtId="168" fontId="4" fillId="0" borderId="6" xfId="0" applyNumberFormat="1" applyFont="1" applyFill="1" applyBorder="1" applyAlignment="1" applyProtection="1">
      <alignment vertical="center"/>
      <protection locked="0"/>
    </xf>
    <xf numFmtId="166" fontId="13" fillId="0" borderId="6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vertical="center"/>
      <protection/>
    </xf>
    <xf numFmtId="168" fontId="4" fillId="2" borderId="1" xfId="0" applyNumberFormat="1" applyFont="1" applyFill="1" applyBorder="1" applyAlignment="1" applyProtection="1">
      <alignment vertical="center"/>
      <protection/>
    </xf>
    <xf numFmtId="168" fontId="5" fillId="2" borderId="7" xfId="0" applyNumberFormat="1" applyFont="1" applyFill="1" applyBorder="1" applyAlignment="1" applyProtection="1">
      <alignment/>
      <protection/>
    </xf>
    <xf numFmtId="166" fontId="4" fillId="0" borderId="6" xfId="0" applyNumberFormat="1" applyFont="1" applyFill="1" applyBorder="1" applyAlignment="1" applyProtection="1">
      <alignment horizontal="center" vertical="center"/>
      <protection locked="0"/>
    </xf>
    <xf numFmtId="9" fontId="13" fillId="0" borderId="1" xfId="22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168" fontId="33" fillId="0" borderId="1" xfId="20" applyNumberFormat="1" applyFont="1" applyFill="1" applyBorder="1" applyProtection="1">
      <alignment/>
      <protection locked="0"/>
    </xf>
    <xf numFmtId="3" fontId="33" fillId="0" borderId="1" xfId="20" applyNumberFormat="1" applyFont="1" applyFill="1" applyBorder="1" applyProtection="1">
      <alignment/>
      <protection locked="0"/>
    </xf>
    <xf numFmtId="0" fontId="13" fillId="0" borderId="1" xfId="20" applyFont="1" applyFill="1" applyBorder="1" applyAlignment="1" applyProtection="1">
      <alignment horizontal="center"/>
      <protection locked="0"/>
    </xf>
    <xf numFmtId="9" fontId="13" fillId="0" borderId="7" xfId="22" applyFont="1" applyFill="1" applyBorder="1" applyAlignment="1" applyProtection="1">
      <alignment horizontal="center" vertical="center"/>
      <protection locked="0"/>
    </xf>
    <xf numFmtId="9" fontId="13" fillId="0" borderId="1" xfId="22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4" fillId="0" borderId="9" xfId="22" applyNumberFormat="1" applyFont="1" applyFill="1" applyBorder="1" applyAlignment="1" applyProtection="1">
      <alignment horizontal="right" vertical="center"/>
      <protection locked="0"/>
    </xf>
    <xf numFmtId="9" fontId="4" fillId="0" borderId="0" xfId="22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locked="0"/>
    </xf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8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1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0" fontId="13" fillId="0" borderId="3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 horizontal="right"/>
      <protection/>
    </xf>
    <xf numFmtId="0" fontId="9" fillId="3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2" borderId="2" xfId="0" applyFont="1" applyFill="1" applyBorder="1" applyAlignment="1" applyProtection="1">
      <alignment horizontal="left" indent="1"/>
      <protection/>
    </xf>
    <xf numFmtId="170" fontId="4" fillId="2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2" borderId="1" xfId="0" applyNumberFormat="1" applyFont="1" applyFill="1" applyBorder="1" applyAlignment="1" applyProtection="1">
      <alignment horizontal="center"/>
      <protection/>
    </xf>
    <xf numFmtId="168" fontId="5" fillId="2" borderId="1" xfId="0" applyNumberFormat="1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9" fontId="13" fillId="0" borderId="0" xfId="22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10" fillId="2" borderId="10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/>
      <protection locked="0"/>
    </xf>
    <xf numFmtId="9" fontId="13" fillId="2" borderId="7" xfId="22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/>
      <protection/>
    </xf>
    <xf numFmtId="10" fontId="13" fillId="2" borderId="1" xfId="22" applyNumberFormat="1" applyFont="1" applyFill="1" applyBorder="1" applyAlignment="1" applyProtection="1">
      <alignment horizontal="right" vertical="center"/>
      <protection/>
    </xf>
    <xf numFmtId="168" fontId="4" fillId="2" borderId="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" borderId="0" xfId="0" applyFont="1" applyFill="1" applyAlignment="1" applyProtection="1">
      <alignment horizontal="left"/>
      <protection/>
    </xf>
    <xf numFmtId="168" fontId="5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 horizontal="left"/>
      <protection/>
    </xf>
    <xf numFmtId="0" fontId="3" fillId="5" borderId="0" xfId="0" applyFont="1" applyFill="1" applyAlignment="1" applyProtection="1">
      <alignment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9" fontId="13" fillId="2" borderId="1" xfId="22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/>
      <protection/>
    </xf>
    <xf numFmtId="38" fontId="4" fillId="2" borderId="1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Alignment="1" applyProtection="1">
      <alignment/>
      <protection/>
    </xf>
    <xf numFmtId="168" fontId="5" fillId="2" borderId="7" xfId="0" applyNumberFormat="1" applyFont="1" applyFill="1" applyBorder="1" applyAlignment="1" applyProtection="1">
      <alignment vertical="center"/>
      <protection/>
    </xf>
    <xf numFmtId="166" fontId="13" fillId="2" borderId="6" xfId="0" applyNumberFormat="1" applyFont="1" applyFill="1" applyBorder="1" applyAlignment="1" applyProtection="1">
      <alignment horizontal="center" vertical="center"/>
      <protection/>
    </xf>
    <xf numFmtId="9" fontId="13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2" borderId="2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66" fontId="5" fillId="2" borderId="7" xfId="0" applyNumberFormat="1" applyFont="1" applyFill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5" fillId="2" borderId="12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2" borderId="1" xfId="0" applyNumberFormat="1" applyFont="1" applyFill="1" applyBorder="1" applyAlignment="1" applyProtection="1">
      <alignment horizontal="right" vertical="center"/>
      <protection/>
    </xf>
    <xf numFmtId="168" fontId="5" fillId="2" borderId="7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 indent="1"/>
      <protection/>
    </xf>
    <xf numFmtId="10" fontId="4" fillId="2" borderId="1" xfId="22" applyNumberFormat="1" applyFont="1" applyFill="1" applyBorder="1" applyAlignment="1" applyProtection="1">
      <alignment horizontal="center"/>
      <protection/>
    </xf>
    <xf numFmtId="168" fontId="4" fillId="2" borderId="1" xfId="0" applyNumberFormat="1" applyFont="1" applyFill="1" applyBorder="1" applyAlignment="1" applyProtection="1">
      <alignment/>
      <protection/>
    </xf>
    <xf numFmtId="38" fontId="4" fillId="2" borderId="2" xfId="0" applyNumberFormat="1" applyFont="1" applyFill="1" applyBorder="1" applyAlignment="1" applyProtection="1">
      <alignment/>
      <protection/>
    </xf>
    <xf numFmtId="38" fontId="4" fillId="2" borderId="3" xfId="0" applyNumberFormat="1" applyFont="1" applyFill="1" applyBorder="1" applyAlignment="1" applyProtection="1">
      <alignment/>
      <protection/>
    </xf>
    <xf numFmtId="168" fontId="4" fillId="2" borderId="3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9" fontId="4" fillId="2" borderId="0" xfId="22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/>
    </xf>
    <xf numFmtId="9" fontId="4" fillId="2" borderId="3" xfId="22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left" indent="1"/>
      <protection/>
    </xf>
    <xf numFmtId="9" fontId="4" fillId="2" borderId="13" xfId="22" applyFont="1" applyFill="1" applyBorder="1" applyAlignment="1" applyProtection="1">
      <alignment horizontal="left"/>
      <protection/>
    </xf>
    <xf numFmtId="168" fontId="4" fillId="2" borderId="6" xfId="0" applyNumberFormat="1" applyFont="1" applyFill="1" applyBorder="1" applyAlignment="1" applyProtection="1">
      <alignment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" borderId="0" xfId="22" applyFont="1" applyFill="1" applyBorder="1" applyAlignment="1" applyProtection="1">
      <alignment horizontal="left"/>
      <protection/>
    </xf>
    <xf numFmtId="168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left" indent="1"/>
      <protection/>
    </xf>
    <xf numFmtId="166" fontId="4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3" fillId="5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38" fontId="4" fillId="2" borderId="1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 horizontal="center"/>
      <protection/>
    </xf>
    <xf numFmtId="3" fontId="4" fillId="2" borderId="1" xfId="0" applyNumberFormat="1" applyFont="1" applyFill="1" applyBorder="1" applyAlignment="1" applyProtection="1">
      <alignment/>
      <protection/>
    </xf>
    <xf numFmtId="3" fontId="5" fillId="2" borderId="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 applyProtection="1">
      <alignment horizontal="left" indent="2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0" fontId="10" fillId="0" borderId="0" xfId="20" applyFont="1" applyFill="1" applyBorder="1" applyAlignment="1" applyProtection="1">
      <alignment horizontal="center"/>
      <protection/>
    </xf>
    <xf numFmtId="0" fontId="4" fillId="3" borderId="0" xfId="20" applyFont="1" applyFill="1" applyProtection="1">
      <alignment/>
      <protection/>
    </xf>
    <xf numFmtId="0" fontId="5" fillId="0" borderId="14" xfId="21" applyFont="1" applyFill="1" applyBorder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5" fillId="2" borderId="1" xfId="20" applyFont="1" applyFill="1" applyBorder="1" applyAlignment="1" applyProtection="1">
      <alignment/>
      <protection/>
    </xf>
    <xf numFmtId="0" fontId="4" fillId="2" borderId="1" xfId="20" applyFont="1" applyFill="1" applyBorder="1" applyProtection="1">
      <alignment/>
      <protection/>
    </xf>
    <xf numFmtId="166" fontId="4" fillId="0" borderId="4" xfId="20" applyNumberFormat="1" applyFont="1" applyFill="1" applyBorder="1" applyAlignment="1" applyProtection="1">
      <alignment horizontal="center" vertical="center"/>
      <protection/>
    </xf>
    <xf numFmtId="166" fontId="4" fillId="0" borderId="0" xfId="20" applyNumberFormat="1" applyFont="1" applyFill="1" applyBorder="1" applyAlignment="1" applyProtection="1">
      <alignment horizontal="center" vertical="center"/>
      <protection/>
    </xf>
    <xf numFmtId="0" fontId="4" fillId="2" borderId="1" xfId="20" applyFont="1" applyFill="1" applyBorder="1" applyAlignment="1" applyProtection="1">
      <alignment horizontal="left" indent="1"/>
      <protection/>
    </xf>
    <xf numFmtId="10" fontId="4" fillId="0" borderId="0" xfId="23" applyNumberFormat="1" applyFont="1" applyFill="1" applyBorder="1" applyAlignment="1" applyProtection="1">
      <alignment horizontal="center" vertical="center"/>
      <protection/>
    </xf>
    <xf numFmtId="0" fontId="4" fillId="2" borderId="1" xfId="20" applyFont="1" applyFill="1" applyBorder="1" applyAlignment="1" applyProtection="1">
      <alignment horizontal="center"/>
      <protection/>
    </xf>
    <xf numFmtId="0" fontId="5" fillId="2" borderId="1" xfId="20" applyFont="1" applyFill="1" applyBorder="1" applyAlignment="1" applyProtection="1">
      <alignment horizontal="center"/>
      <protection/>
    </xf>
    <xf numFmtId="0" fontId="5" fillId="2" borderId="2" xfId="20" applyFont="1" applyFill="1" applyBorder="1" applyProtection="1">
      <alignment/>
      <protection/>
    </xf>
    <xf numFmtId="0" fontId="4" fillId="2" borderId="3" xfId="20" applyFont="1" applyFill="1" applyBorder="1" applyProtection="1">
      <alignment/>
      <protection/>
    </xf>
    <xf numFmtId="0" fontId="33" fillId="2" borderId="1" xfId="20" applyFont="1" applyFill="1" applyBorder="1" applyProtection="1">
      <alignment/>
      <protection/>
    </xf>
    <xf numFmtId="0" fontId="4" fillId="2" borderId="2" xfId="20" applyFont="1" applyFill="1" applyBorder="1" applyProtection="1">
      <alignment/>
      <protection/>
    </xf>
    <xf numFmtId="168" fontId="5" fillId="2" borderId="1" xfId="20" applyNumberFormat="1" applyFont="1" applyFill="1" applyBorder="1" applyAlignment="1" applyProtection="1">
      <alignment/>
      <protection/>
    </xf>
    <xf numFmtId="3" fontId="13" fillId="2" borderId="1" xfId="20" applyNumberFormat="1" applyFont="1" applyFill="1" applyBorder="1" applyProtection="1">
      <alignment/>
      <protection/>
    </xf>
    <xf numFmtId="3" fontId="5" fillId="2" borderId="1" xfId="20" applyNumberFormat="1" applyFont="1" applyFill="1" applyBorder="1" applyAlignment="1" applyProtection="1">
      <alignment/>
      <protection/>
    </xf>
    <xf numFmtId="3" fontId="5" fillId="2" borderId="7" xfId="20" applyNumberFormat="1" applyFont="1" applyFill="1" applyBorder="1" applyAlignment="1" applyProtection="1">
      <alignment horizontal="right"/>
      <protection/>
    </xf>
    <xf numFmtId="168" fontId="5" fillId="0" borderId="0" xfId="20" applyNumberFormat="1" applyFont="1" applyFill="1" applyBorder="1" applyAlignment="1" applyProtection="1">
      <alignment horizontal="left" vertical="center"/>
      <protection/>
    </xf>
    <xf numFmtId="3" fontId="5" fillId="0" borderId="0" xfId="20" applyNumberFormat="1" applyFont="1" applyFill="1" applyBorder="1" applyAlignment="1" applyProtection="1">
      <alignment horizontal="right"/>
      <protection/>
    </xf>
    <xf numFmtId="168" fontId="5" fillId="2" borderId="10" xfId="20" applyNumberFormat="1" applyFont="1" applyFill="1" applyBorder="1" applyAlignment="1" applyProtection="1">
      <alignment vertical="center"/>
      <protection/>
    </xf>
    <xf numFmtId="9" fontId="0" fillId="2" borderId="17" xfId="22" applyFill="1" applyBorder="1" applyAlignment="1" applyProtection="1">
      <alignment horizontal="center" vertical="center"/>
      <protection/>
    </xf>
    <xf numFmtId="0" fontId="12" fillId="0" borderId="0" xfId="20" applyFont="1" applyFill="1" applyBorder="1" applyProtection="1">
      <alignment/>
      <protection/>
    </xf>
    <xf numFmtId="0" fontId="4" fillId="0" borderId="0" xfId="20" applyFont="1" applyFill="1" applyBorder="1" applyProtection="1">
      <alignment/>
      <protection/>
    </xf>
    <xf numFmtId="168" fontId="4" fillId="0" borderId="0" xfId="20" applyNumberFormat="1" applyFont="1" applyFill="1" applyProtection="1">
      <alignment/>
      <protection/>
    </xf>
    <xf numFmtId="168" fontId="33" fillId="2" borderId="1" xfId="20" applyNumberFormat="1" applyFont="1" applyFill="1" applyBorder="1" applyProtection="1">
      <alignment/>
      <protection/>
    </xf>
    <xf numFmtId="3" fontId="33" fillId="2" borderId="1" xfId="20" applyNumberFormat="1" applyFont="1" applyFill="1" applyBorder="1" applyProtection="1">
      <alignment/>
      <protection/>
    </xf>
    <xf numFmtId="0" fontId="10" fillId="2" borderId="2" xfId="20" applyFont="1" applyFill="1" applyBorder="1" applyAlignment="1" applyProtection="1">
      <alignment horizontal="center"/>
      <protection/>
    </xf>
    <xf numFmtId="0" fontId="10" fillId="2" borderId="3" xfId="20" applyFont="1" applyFill="1" applyBorder="1" applyAlignment="1" applyProtection="1">
      <alignment horizontal="center"/>
      <protection/>
    </xf>
    <xf numFmtId="0" fontId="5" fillId="0" borderId="8" xfId="20" applyFont="1" applyFill="1" applyBorder="1" applyProtection="1">
      <alignment/>
      <protection/>
    </xf>
    <xf numFmtId="10" fontId="4" fillId="0" borderId="6" xfId="24" applyNumberFormat="1" applyFont="1" applyFill="1" applyBorder="1" applyAlignment="1" applyProtection="1">
      <alignment/>
      <protection/>
    </xf>
    <xf numFmtId="168" fontId="4" fillId="0" borderId="6" xfId="20" applyNumberFormat="1" applyFont="1" applyFill="1" applyBorder="1" applyProtection="1">
      <alignment/>
      <protection/>
    </xf>
    <xf numFmtId="0" fontId="4" fillId="0" borderId="4" xfId="20" applyFont="1" applyFill="1" applyBorder="1" applyProtection="1">
      <alignment/>
      <protection/>
    </xf>
    <xf numFmtId="10" fontId="4" fillId="0" borderId="18" xfId="24" applyNumberFormat="1" applyFont="1" applyFill="1" applyBorder="1" applyAlignment="1" applyProtection="1">
      <alignment/>
      <protection/>
    </xf>
    <xf numFmtId="168" fontId="4" fillId="0" borderId="18" xfId="20" applyNumberFormat="1" applyFont="1" applyFill="1" applyBorder="1" applyProtection="1">
      <alignment/>
      <protection/>
    </xf>
    <xf numFmtId="0" fontId="4" fillId="0" borderId="4" xfId="20" applyFont="1" applyFill="1" applyBorder="1" applyAlignment="1" applyProtection="1">
      <alignment horizontal="left" indent="2"/>
      <protection/>
    </xf>
    <xf numFmtId="0" fontId="4" fillId="0" borderId="4" xfId="20" applyFont="1" applyFill="1" applyBorder="1" applyAlignment="1" applyProtection="1">
      <alignment horizontal="left" indent="1"/>
      <protection/>
    </xf>
    <xf numFmtId="10" fontId="4" fillId="0" borderId="19" xfId="24" applyNumberFormat="1" applyFont="1" applyFill="1" applyBorder="1" applyAlignment="1" applyProtection="1">
      <alignment/>
      <protection/>
    </xf>
    <xf numFmtId="3" fontId="5" fillId="0" borderId="1" xfId="20" applyNumberFormat="1" applyFont="1" applyFill="1" applyBorder="1" applyAlignment="1" applyProtection="1">
      <alignment/>
      <protection/>
    </xf>
    <xf numFmtId="0" fontId="5" fillId="0" borderId="4" xfId="20" applyFont="1" applyFill="1" applyBorder="1" applyProtection="1">
      <alignment/>
      <protection/>
    </xf>
    <xf numFmtId="168" fontId="5" fillId="0" borderId="1" xfId="20" applyNumberFormat="1" applyFont="1" applyFill="1" applyBorder="1" applyAlignment="1" applyProtection="1">
      <alignment/>
      <protection/>
    </xf>
    <xf numFmtId="0" fontId="4" fillId="3" borderId="0" xfId="20" applyFont="1" applyFill="1" applyAlignment="1" applyProtection="1">
      <alignment horizontal="fill"/>
      <protection/>
    </xf>
    <xf numFmtId="0" fontId="4" fillId="3" borderId="0" xfId="20" applyFont="1" applyFill="1" applyAlignment="1" applyProtection="1">
      <alignment horizontal="left"/>
      <protection/>
    </xf>
    <xf numFmtId="10" fontId="13" fillId="3" borderId="0" xfId="20" applyNumberFormat="1" applyFont="1" applyFill="1" applyProtection="1">
      <alignment/>
      <protection/>
    </xf>
    <xf numFmtId="0" fontId="4" fillId="3" borderId="0" xfId="20" applyFont="1" applyFill="1" applyAlignment="1" applyProtection="1">
      <alignment horizontal="center"/>
      <protection/>
    </xf>
    <xf numFmtId="172" fontId="13" fillId="3" borderId="0" xfId="20" applyNumberFormat="1" applyFont="1" applyFill="1" applyProtection="1">
      <alignment/>
      <protection/>
    </xf>
    <xf numFmtId="0" fontId="14" fillId="3" borderId="0" xfId="20" applyFont="1" applyFill="1" applyAlignment="1" applyProtection="1">
      <alignment horizontal="left"/>
      <protection/>
    </xf>
    <xf numFmtId="174" fontId="13" fillId="3" borderId="0" xfId="20" applyNumberFormat="1" applyFont="1" applyFill="1" applyProtection="1">
      <alignment/>
      <protection/>
    </xf>
    <xf numFmtId="0" fontId="13" fillId="3" borderId="0" xfId="20" applyFont="1" applyFill="1" applyAlignment="1" applyProtection="1">
      <alignment horizontal="left"/>
      <protection/>
    </xf>
    <xf numFmtId="0" fontId="4" fillId="3" borderId="0" xfId="20" applyFont="1" applyFill="1" applyAlignment="1" applyProtection="1">
      <alignment horizontal="right"/>
      <protection/>
    </xf>
    <xf numFmtId="170" fontId="4" fillId="3" borderId="0" xfId="20" applyNumberFormat="1" applyFont="1" applyFill="1" applyProtection="1">
      <alignment/>
      <protection/>
    </xf>
    <xf numFmtId="10" fontId="4" fillId="3" borderId="0" xfId="20" applyNumberFormat="1" applyFont="1" applyFill="1" applyProtection="1">
      <alignment/>
      <protection/>
    </xf>
    <xf numFmtId="173" fontId="4" fillId="3" borderId="0" xfId="20" applyNumberFormat="1" applyFont="1" applyFill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2" borderId="6" xfId="0" applyNumberFormat="1" applyFont="1" applyFill="1" applyBorder="1" applyAlignment="1" applyProtection="1">
      <alignment/>
      <protection/>
    </xf>
    <xf numFmtId="9" fontId="4" fillId="2" borderId="18" xfId="22" applyFont="1" applyFill="1" applyBorder="1" applyAlignment="1" applyProtection="1">
      <alignment horizontal="right" vertical="center"/>
      <protection/>
    </xf>
    <xf numFmtId="9" fontId="4" fillId="2" borderId="1" xfId="22" applyFont="1" applyFill="1" applyBorder="1" applyAlignment="1" applyProtection="1">
      <alignment horizontal="right" vertical="center"/>
      <protection/>
    </xf>
    <xf numFmtId="0" fontId="4" fillId="2" borderId="18" xfId="0" applyFont="1" applyFill="1" applyBorder="1" applyAlignment="1" applyProtection="1">
      <alignment/>
      <protection/>
    </xf>
    <xf numFmtId="3" fontId="4" fillId="2" borderId="3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/>
      <protection/>
    </xf>
    <xf numFmtId="3" fontId="4" fillId="2" borderId="13" xfId="0" applyNumberFormat="1" applyFont="1" applyFill="1" applyBorder="1" applyAlignment="1" applyProtection="1">
      <alignment/>
      <protection/>
    </xf>
    <xf numFmtId="9" fontId="4" fillId="2" borderId="4" xfId="22" applyFont="1" applyFill="1" applyBorder="1" applyAlignment="1" applyProtection="1">
      <alignment horizontal="right" vertical="center"/>
      <protection/>
    </xf>
    <xf numFmtId="9" fontId="4" fillId="2" borderId="0" xfId="22" applyFont="1" applyFill="1" applyBorder="1" applyAlignment="1" applyProtection="1">
      <alignment horizontal="right" vertical="center"/>
      <protection/>
    </xf>
    <xf numFmtId="0" fontId="4" fillId="2" borderId="4" xfId="0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3" fontId="4" fillId="2" borderId="19" xfId="0" applyNumberFormat="1" applyFont="1" applyFill="1" applyBorder="1" applyAlignment="1" applyProtection="1">
      <alignment/>
      <protection/>
    </xf>
    <xf numFmtId="3" fontId="4" fillId="6" borderId="1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2" borderId="1" xfId="0" applyNumberFormat="1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horizontal="left"/>
      <protection/>
    </xf>
    <xf numFmtId="9" fontId="4" fillId="2" borderId="20" xfId="22" applyFont="1" applyFill="1" applyBorder="1" applyAlignment="1" applyProtection="1">
      <alignment/>
      <protection/>
    </xf>
    <xf numFmtId="3" fontId="8" fillId="0" borderId="0" xfId="22" applyNumberFormat="1" applyFont="1" applyFill="1" applyBorder="1" applyAlignment="1" applyProtection="1">
      <alignment/>
      <protection/>
    </xf>
    <xf numFmtId="9" fontId="5" fillId="2" borderId="7" xfId="0" applyNumberFormat="1" applyFont="1" applyFill="1" applyBorder="1" applyAlignment="1" applyProtection="1">
      <alignment/>
      <protection/>
    </xf>
    <xf numFmtId="168" fontId="4" fillId="3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5" borderId="0" xfId="0" applyFont="1" applyFill="1" applyBorder="1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0" fontId="4" fillId="2" borderId="16" xfId="0" applyFont="1" applyFill="1" applyBorder="1" applyAlignment="1" applyProtection="1">
      <alignment horizontal="left" indent="1"/>
      <protection/>
    </xf>
    <xf numFmtId="38" fontId="4" fillId="2" borderId="3" xfId="17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left" indent="2"/>
      <protection/>
    </xf>
    <xf numFmtId="3" fontId="5" fillId="2" borderId="1" xfId="0" applyNumberFormat="1" applyFont="1" applyFill="1" applyBorder="1" applyAlignment="1" applyProtection="1">
      <alignment horizontal="center"/>
      <protection/>
    </xf>
    <xf numFmtId="38" fontId="4" fillId="2" borderId="21" xfId="17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5" fillId="2" borderId="17" xfId="0" applyFont="1" applyFill="1" applyBorder="1" applyAlignment="1" applyProtection="1">
      <alignment horizontal="left" indent="1"/>
      <protection/>
    </xf>
    <xf numFmtId="0" fontId="4" fillId="0" borderId="22" xfId="0" applyFont="1" applyFill="1" applyBorder="1" applyAlignment="1" applyProtection="1">
      <alignment/>
      <protection/>
    </xf>
    <xf numFmtId="38" fontId="4" fillId="0" borderId="0" xfId="17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" borderId="0" xfId="17" applyNumberFormat="1" applyFont="1" applyFill="1" applyBorder="1" applyAlignment="1" applyProtection="1">
      <alignment horizontal="center"/>
      <protection/>
    </xf>
    <xf numFmtId="168" fontId="4" fillId="3" borderId="0" xfId="0" applyNumberFormat="1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38" fontId="4" fillId="3" borderId="0" xfId="17" applyNumberFormat="1" applyFont="1" applyFill="1" applyBorder="1" applyAlignment="1" applyProtection="1">
      <alignment/>
      <protection/>
    </xf>
    <xf numFmtId="168" fontId="5" fillId="3" borderId="0" xfId="0" applyNumberFormat="1" applyFont="1" applyFill="1" applyBorder="1" applyAlignment="1" applyProtection="1">
      <alignment/>
      <protection/>
    </xf>
    <xf numFmtId="168" fontId="18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 horizontal="left" indent="1"/>
      <protection/>
    </xf>
    <xf numFmtId="38" fontId="4" fillId="3" borderId="0" xfId="0" applyNumberFormat="1" applyFont="1" applyFill="1" applyBorder="1" applyAlignment="1" applyProtection="1">
      <alignment/>
      <protection/>
    </xf>
    <xf numFmtId="38" fontId="4" fillId="3" borderId="0" xfId="0" applyNumberFormat="1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3" fontId="4" fillId="2" borderId="1" xfId="22" applyNumberFormat="1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3" fontId="4" fillId="2" borderId="18" xfId="22" applyNumberFormat="1" applyFont="1" applyFill="1" applyBorder="1" applyAlignment="1" applyProtection="1">
      <alignment horizontal="right" vertical="center"/>
      <protection/>
    </xf>
    <xf numFmtId="3" fontId="4" fillId="2" borderId="9" xfId="22" applyNumberFormat="1" applyFont="1" applyFill="1" applyBorder="1" applyAlignment="1" applyProtection="1">
      <alignment horizontal="right" vertical="center"/>
      <protection/>
    </xf>
    <xf numFmtId="3" fontId="4" fillId="2" borderId="19" xfId="2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" borderId="0" xfId="0" applyFont="1" applyFill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 horizontal="right" vertical="center"/>
      <protection/>
    </xf>
    <xf numFmtId="3" fontId="5" fillId="2" borderId="7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8" fontId="4" fillId="2" borderId="1" xfId="0" applyNumberFormat="1" applyFont="1" applyFill="1" applyBorder="1" applyAlignment="1" applyProtection="1">
      <alignment horizontal="center"/>
      <protection/>
    </xf>
    <xf numFmtId="3" fontId="4" fillId="2" borderId="1" xfId="0" applyNumberFormat="1" applyFont="1" applyFill="1" applyBorder="1" applyAlignment="1" applyProtection="1">
      <alignment horizontal="right"/>
      <protection/>
    </xf>
    <xf numFmtId="0" fontId="34" fillId="3" borderId="0" xfId="0" applyFont="1" applyFill="1" applyAlignment="1" applyProtection="1">
      <alignment/>
      <protection/>
    </xf>
    <xf numFmtId="168" fontId="34" fillId="3" borderId="0" xfId="0" applyNumberFormat="1" applyFont="1" applyFill="1" applyAlignment="1" applyProtection="1">
      <alignment/>
      <protection/>
    </xf>
    <xf numFmtId="175" fontId="34" fillId="3" borderId="0" xfId="0" applyNumberFormat="1" applyFont="1" applyFill="1" applyAlignment="1" applyProtection="1">
      <alignment/>
      <protection/>
    </xf>
    <xf numFmtId="3" fontId="34" fillId="3" borderId="0" xfId="0" applyNumberFormat="1" applyFont="1" applyFill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center"/>
      <protection/>
    </xf>
    <xf numFmtId="0" fontId="5" fillId="2" borderId="25" xfId="0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left"/>
      <protection/>
    </xf>
    <xf numFmtId="9" fontId="4" fillId="2" borderId="27" xfId="22" applyFont="1" applyFill="1" applyBorder="1" applyAlignment="1" applyProtection="1">
      <alignment horizontal="right" vertical="center"/>
      <protection/>
    </xf>
    <xf numFmtId="0" fontId="4" fillId="2" borderId="28" xfId="0" applyFont="1" applyFill="1" applyBorder="1" applyAlignment="1" applyProtection="1">
      <alignment horizontal="left"/>
      <protection/>
    </xf>
    <xf numFmtId="9" fontId="4" fillId="2" borderId="29" xfId="22" applyFont="1" applyFill="1" applyBorder="1" applyAlignment="1" applyProtection="1">
      <alignment horizontal="right" vertical="center"/>
      <protection/>
    </xf>
    <xf numFmtId="9" fontId="4" fillId="2" borderId="30" xfId="22" applyFont="1" applyFill="1" applyBorder="1" applyAlignment="1" applyProtection="1">
      <alignment horizontal="right" vertical="center"/>
      <protection/>
    </xf>
    <xf numFmtId="0" fontId="4" fillId="2" borderId="31" xfId="0" applyFont="1" applyFill="1" applyBorder="1" applyAlignment="1" applyProtection="1">
      <alignment horizontal="left"/>
      <protection/>
    </xf>
    <xf numFmtId="9" fontId="4" fillId="2" borderId="6" xfId="22" applyFont="1" applyFill="1" applyBorder="1" applyAlignment="1" applyProtection="1">
      <alignment horizontal="right" vertical="center"/>
      <protection/>
    </xf>
    <xf numFmtId="9" fontId="4" fillId="2" borderId="32" xfId="22" applyFont="1" applyFill="1" applyBorder="1" applyAlignment="1" applyProtection="1">
      <alignment horizontal="right" vertical="center"/>
      <protection/>
    </xf>
    <xf numFmtId="0" fontId="4" fillId="2" borderId="33" xfId="0" applyFont="1" applyFill="1" applyBorder="1" applyAlignment="1" applyProtection="1">
      <alignment horizontal="left"/>
      <protection/>
    </xf>
    <xf numFmtId="9" fontId="4" fillId="2" borderId="34" xfId="22" applyFont="1" applyFill="1" applyBorder="1" applyAlignment="1" applyProtection="1">
      <alignment horizontal="right" vertical="center"/>
      <protection/>
    </xf>
    <xf numFmtId="9" fontId="4" fillId="2" borderId="35" xfId="22" applyFont="1" applyFill="1" applyBorder="1" applyAlignment="1" applyProtection="1">
      <alignment horizontal="right" vertical="center"/>
      <protection/>
    </xf>
    <xf numFmtId="3" fontId="4" fillId="2" borderId="29" xfId="0" applyNumberFormat="1" applyFont="1" applyFill="1" applyBorder="1" applyAlignment="1" applyProtection="1">
      <alignment horizontal="right" vertical="center"/>
      <protection/>
    </xf>
    <xf numFmtId="0" fontId="4" fillId="2" borderId="36" xfId="0" applyFont="1" applyFill="1" applyBorder="1" applyAlignment="1" applyProtection="1">
      <alignment horizontal="left" indent="1"/>
      <protection/>
    </xf>
    <xf numFmtId="3" fontId="4" fillId="2" borderId="19" xfId="0" applyNumberFormat="1" applyFont="1" applyFill="1" applyBorder="1" applyAlignment="1" applyProtection="1">
      <alignment horizontal="right" vertical="center"/>
      <protection/>
    </xf>
    <xf numFmtId="3" fontId="4" fillId="2" borderId="37" xfId="0" applyNumberFormat="1" applyFont="1" applyFill="1" applyBorder="1" applyAlignment="1" applyProtection="1">
      <alignment horizontal="right" vertical="center"/>
      <protection/>
    </xf>
    <xf numFmtId="0" fontId="4" fillId="2" borderId="26" xfId="0" applyFont="1" applyFill="1" applyBorder="1" applyAlignment="1" applyProtection="1">
      <alignment horizontal="left" indent="1"/>
      <protection/>
    </xf>
    <xf numFmtId="3" fontId="4" fillId="2" borderId="27" xfId="0" applyNumberFormat="1" applyFont="1" applyFill="1" applyBorder="1" applyAlignment="1" applyProtection="1">
      <alignment horizontal="right" vertical="center"/>
      <protection/>
    </xf>
    <xf numFmtId="0" fontId="5" fillId="2" borderId="26" xfId="0" applyFont="1" applyFill="1" applyBorder="1" applyAlignment="1" applyProtection="1">
      <alignment/>
      <protection/>
    </xf>
    <xf numFmtId="3" fontId="5" fillId="2" borderId="27" xfId="0" applyNumberFormat="1" applyFont="1" applyFill="1" applyBorder="1" applyAlignment="1" applyProtection="1">
      <alignment horizontal="right" vertical="center"/>
      <protection/>
    </xf>
    <xf numFmtId="0" fontId="4" fillId="2" borderId="38" xfId="0" applyFont="1" applyFill="1" applyBorder="1" applyAlignment="1" applyProtection="1">
      <alignment/>
      <protection/>
    </xf>
    <xf numFmtId="170" fontId="4" fillId="2" borderId="0" xfId="0" applyNumberFormat="1" applyFont="1" applyFill="1" applyBorder="1" applyAlignment="1" applyProtection="1">
      <alignment/>
      <protection/>
    </xf>
    <xf numFmtId="170" fontId="4" fillId="2" borderId="39" xfId="0" applyNumberFormat="1" applyFont="1" applyFill="1" applyBorder="1" applyAlignment="1" applyProtection="1">
      <alignment/>
      <protection/>
    </xf>
    <xf numFmtId="168" fontId="4" fillId="2" borderId="0" xfId="0" applyNumberFormat="1" applyFont="1" applyFill="1" applyBorder="1" applyAlignment="1" applyProtection="1">
      <alignment/>
      <protection/>
    </xf>
    <xf numFmtId="168" fontId="4" fillId="2" borderId="39" xfId="0" applyNumberFormat="1" applyFont="1" applyFill="1" applyBorder="1" applyAlignment="1" applyProtection="1">
      <alignment/>
      <protection/>
    </xf>
    <xf numFmtId="0" fontId="5" fillId="2" borderId="28" xfId="0" applyFont="1" applyFill="1" applyBorder="1" applyAlignment="1" applyProtection="1">
      <alignment/>
      <protection/>
    </xf>
    <xf numFmtId="3" fontId="4" fillId="2" borderId="30" xfId="0" applyNumberFormat="1" applyFont="1" applyFill="1" applyBorder="1" applyAlignment="1" applyProtection="1">
      <alignment horizontal="right" vertical="center"/>
      <protection/>
    </xf>
    <xf numFmtId="3" fontId="4" fillId="2" borderId="27" xfId="22" applyNumberFormat="1" applyFont="1" applyFill="1" applyBorder="1" applyAlignment="1" applyProtection="1">
      <alignment horizontal="right" vertical="center"/>
      <protection/>
    </xf>
    <xf numFmtId="0" fontId="7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40" fontId="4" fillId="0" borderId="0" xfId="26" applyNumberFormat="1" applyFont="1" applyFill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3" fontId="5" fillId="2" borderId="1" xfId="22" applyNumberFormat="1" applyFont="1" applyFill="1" applyBorder="1" applyAlignment="1" applyProtection="1">
      <alignment horizontal="right" vertical="center"/>
      <protection/>
    </xf>
    <xf numFmtId="172" fontId="4" fillId="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22" applyNumberFormat="1" applyFont="1" applyFill="1" applyBorder="1" applyAlignment="1" applyProtection="1">
      <alignment horizontal="right" vertical="center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10" fontId="4" fillId="2" borderId="1" xfId="0" applyNumberFormat="1" applyFont="1" applyFill="1" applyBorder="1" applyAlignment="1" applyProtection="1">
      <alignment vertical="center" wrapText="1"/>
      <protection/>
    </xf>
    <xf numFmtId="170" fontId="4" fillId="3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3" fontId="4" fillId="2" borderId="1" xfId="0" applyNumberFormat="1" applyFont="1" applyFill="1" applyBorder="1" applyAlignment="1" applyProtection="1">
      <alignment vertical="center" wrapText="1"/>
      <protection/>
    </xf>
    <xf numFmtId="169" fontId="4" fillId="2" borderId="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26" applyNumberFormat="1" applyFont="1" applyFill="1" applyAlignment="1" applyProtection="1">
      <alignment/>
      <protection/>
    </xf>
    <xf numFmtId="40" fontId="21" fillId="0" borderId="0" xfId="26" applyNumberFormat="1" applyFont="1" applyFill="1" applyBorder="1" applyAlignment="1" applyProtection="1">
      <alignment/>
      <protection/>
    </xf>
    <xf numFmtId="40" fontId="4" fillId="0" borderId="0" xfId="26" applyNumberFormat="1" applyFont="1" applyFill="1" applyBorder="1" applyAlignment="1" applyProtection="1">
      <alignment horizontal="right"/>
      <protection/>
    </xf>
    <xf numFmtId="40" fontId="21" fillId="0" borderId="0" xfId="2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2" borderId="1" xfId="22" applyNumberFormat="1" applyFont="1" applyFill="1" applyBorder="1" applyAlignment="1" applyProtection="1">
      <alignment horizontal="right" vertical="center"/>
      <protection/>
    </xf>
    <xf numFmtId="40" fontId="4" fillId="0" borderId="0" xfId="26" applyNumberFormat="1" applyFont="1" applyFill="1" applyBorder="1" applyAlignment="1" applyProtection="1">
      <alignment horizontal="left"/>
      <protection/>
    </xf>
    <xf numFmtId="3" fontId="5" fillId="2" borderId="1" xfId="22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" borderId="0" xfId="26" applyNumberFormat="1" applyFont="1" applyFill="1" applyAlignment="1" applyProtection="1">
      <alignment/>
      <protection/>
    </xf>
    <xf numFmtId="40" fontId="4" fillId="3" borderId="0" xfId="26" applyNumberFormat="1" applyFont="1" applyFill="1" applyBorder="1" applyAlignment="1" applyProtection="1">
      <alignment/>
      <protection/>
    </xf>
    <xf numFmtId="9" fontId="4" fillId="0" borderId="0" xfId="22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9" fontId="4" fillId="0" borderId="0" xfId="22" applyFont="1" applyFill="1" applyAlignment="1" applyProtection="1">
      <alignment/>
      <protection/>
    </xf>
    <xf numFmtId="9" fontId="4" fillId="0" borderId="0" xfId="0" applyNumberFormat="1" applyFont="1" applyFill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9" fontId="4" fillId="0" borderId="40" xfId="22" applyFont="1" applyFill="1" applyBorder="1" applyAlignment="1" applyProtection="1">
      <alignment/>
      <protection/>
    </xf>
    <xf numFmtId="167" fontId="4" fillId="0" borderId="4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" fillId="5" borderId="0" xfId="0" applyFont="1" applyFill="1" applyAlignment="1" applyProtection="1">
      <alignment horizontal="right"/>
      <protection locked="0"/>
    </xf>
    <xf numFmtId="168" fontId="33" fillId="3" borderId="0" xfId="0" applyNumberFormat="1" applyFont="1" applyFill="1" applyAlignment="1" applyProtection="1">
      <alignment/>
      <protection/>
    </xf>
    <xf numFmtId="168" fontId="4" fillId="0" borderId="3" xfId="0" applyNumberFormat="1" applyFont="1" applyFill="1" applyBorder="1" applyAlignment="1" applyProtection="1">
      <alignment vertical="center"/>
      <protection locked="0"/>
    </xf>
    <xf numFmtId="168" fontId="5" fillId="7" borderId="1" xfId="0" applyNumberFormat="1" applyFont="1" applyFill="1" applyBorder="1" applyAlignment="1" applyProtection="1">
      <alignment vertical="center"/>
      <protection locked="0"/>
    </xf>
    <xf numFmtId="168" fontId="13" fillId="7" borderId="1" xfId="0" applyNumberFormat="1" applyFont="1" applyFill="1" applyBorder="1" applyAlignment="1" applyProtection="1">
      <alignment vertical="center"/>
      <protection locked="0"/>
    </xf>
    <xf numFmtId="168" fontId="4" fillId="7" borderId="1" xfId="0" applyNumberFormat="1" applyFont="1" applyFill="1" applyBorder="1" applyAlignment="1" applyProtection="1">
      <alignment vertical="center"/>
      <protection locked="0"/>
    </xf>
    <xf numFmtId="9" fontId="13" fillId="7" borderId="1" xfId="22" applyFont="1" applyFill="1" applyBorder="1" applyAlignment="1" applyProtection="1">
      <alignment vertical="center"/>
      <protection locked="0"/>
    </xf>
    <xf numFmtId="10" fontId="13" fillId="7" borderId="1" xfId="22" applyNumberFormat="1" applyFont="1" applyFill="1" applyBorder="1" applyAlignment="1" applyProtection="1">
      <alignment vertical="center"/>
      <protection locked="0"/>
    </xf>
    <xf numFmtId="171" fontId="13" fillId="7" borderId="1" xfId="0" applyNumberFormat="1" applyFont="1" applyFill="1" applyBorder="1" applyAlignment="1" applyProtection="1">
      <alignment vertical="center"/>
      <protection locked="0"/>
    </xf>
    <xf numFmtId="171" fontId="4" fillId="7" borderId="1" xfId="0" applyNumberFormat="1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center"/>
      <protection/>
    </xf>
    <xf numFmtId="168" fontId="5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22" fillId="0" borderId="0" xfId="19" applyFont="1" applyFill="1" applyBorder="1" applyAlignment="1" applyProtection="1">
      <alignment horizontal="left" wrapText="1"/>
      <protection hidden="1"/>
    </xf>
    <xf numFmtId="0" fontId="30" fillId="0" borderId="41" xfId="19" applyFont="1" applyFill="1" applyBorder="1" applyAlignment="1" applyProtection="1">
      <alignment horizontal="center"/>
      <protection hidden="1"/>
    </xf>
    <xf numFmtId="0" fontId="22" fillId="0" borderId="0" xfId="19" applyFont="1" applyFill="1" applyBorder="1" applyAlignment="1" applyProtection="1">
      <alignment horizontal="left"/>
      <protection hidden="1"/>
    </xf>
    <xf numFmtId="0" fontId="29" fillId="0" borderId="0" xfId="19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41" xfId="0" applyFont="1" applyFill="1" applyBorder="1" applyAlignment="1" applyProtection="1">
      <alignment horizontal="center"/>
      <protection hidden="1"/>
    </xf>
    <xf numFmtId="9" fontId="13" fillId="0" borderId="8" xfId="22" applyFont="1" applyFill="1" applyBorder="1" applyAlignment="1" applyProtection="1">
      <alignment horizontal="left" vertical="center" indent="1"/>
      <protection hidden="1"/>
    </xf>
    <xf numFmtId="9" fontId="13" fillId="0" borderId="12" xfId="22" applyFont="1" applyFill="1" applyBorder="1" applyAlignment="1" applyProtection="1">
      <alignment horizontal="left" vertical="center" indent="1"/>
      <protection hidden="1"/>
    </xf>
    <xf numFmtId="9" fontId="13" fillId="0" borderId="13" xfId="22" applyFont="1" applyFill="1" applyBorder="1" applyAlignment="1" applyProtection="1">
      <alignment horizontal="left" vertical="center" indent="1"/>
      <protection hidden="1"/>
    </xf>
    <xf numFmtId="9" fontId="13" fillId="0" borderId="4" xfId="22" applyFont="1" applyFill="1" applyBorder="1" applyAlignment="1" applyProtection="1">
      <alignment horizontal="left" vertical="center" indent="1"/>
      <protection hidden="1"/>
    </xf>
    <xf numFmtId="9" fontId="13" fillId="0" borderId="0" xfId="22" applyFont="1" applyFill="1" applyBorder="1" applyAlignment="1" applyProtection="1">
      <alignment horizontal="left" vertical="center" indent="1"/>
      <protection hidden="1"/>
    </xf>
    <xf numFmtId="9" fontId="13" fillId="0" borderId="5" xfId="22" applyFont="1" applyFill="1" applyBorder="1" applyAlignment="1" applyProtection="1">
      <alignment horizontal="left" vertical="center" indent="1"/>
      <protection hidden="1"/>
    </xf>
    <xf numFmtId="9" fontId="13" fillId="0" borderId="16" xfId="22" applyFont="1" applyFill="1" applyBorder="1" applyAlignment="1" applyProtection="1" quotePrefix="1">
      <alignment horizontal="left" vertical="center" indent="1"/>
      <protection hidden="1"/>
    </xf>
    <xf numFmtId="9" fontId="13" fillId="0" borderId="14" xfId="22" applyFont="1" applyFill="1" applyBorder="1" applyAlignment="1" applyProtection="1" quotePrefix="1">
      <alignment horizontal="left" vertical="center" indent="1"/>
      <protection hidden="1"/>
    </xf>
    <xf numFmtId="9" fontId="13" fillId="0" borderId="21" xfId="22" applyFont="1" applyFill="1" applyBorder="1" applyAlignment="1" applyProtection="1" quotePrefix="1">
      <alignment horizontal="left" vertical="center" indent="1"/>
      <protection hidden="1"/>
    </xf>
    <xf numFmtId="0" fontId="29" fillId="0" borderId="0" xfId="0" applyFont="1" applyFill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30" fillId="0" borderId="41" xfId="0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168" fontId="5" fillId="2" borderId="10" xfId="0" applyNumberFormat="1" applyFont="1" applyFill="1" applyBorder="1" applyAlignment="1" applyProtection="1">
      <alignment horizontal="center" vertical="center"/>
      <protection/>
    </xf>
    <xf numFmtId="168" fontId="5" fillId="2" borderId="15" xfId="0" applyNumberFormat="1" applyFont="1" applyFill="1" applyBorder="1" applyAlignment="1" applyProtection="1">
      <alignment horizontal="center" vertical="center"/>
      <protection/>
    </xf>
    <xf numFmtId="168" fontId="5" fillId="2" borderId="17" xfId="0" applyNumberFormat="1" applyFont="1" applyFill="1" applyBorder="1" applyAlignment="1" applyProtection="1">
      <alignment horizontal="center" vertical="center"/>
      <protection/>
    </xf>
    <xf numFmtId="0" fontId="16" fillId="2" borderId="2" xfId="0" applyFont="1" applyFill="1" applyBorder="1" applyAlignment="1" applyProtection="1">
      <alignment horizontal="center"/>
      <protection/>
    </xf>
    <xf numFmtId="0" fontId="16" fillId="2" borderId="11" xfId="0" applyFont="1" applyFill="1" applyBorder="1" applyAlignment="1" applyProtection="1">
      <alignment horizontal="center"/>
      <protection/>
    </xf>
    <xf numFmtId="0" fontId="16" fillId="2" borderId="3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11" xfId="0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168" fontId="5" fillId="0" borderId="2" xfId="20" applyNumberFormat="1" applyFont="1" applyFill="1" applyBorder="1" applyAlignment="1" applyProtection="1">
      <alignment horizontal="left" vertical="center"/>
      <protection/>
    </xf>
    <xf numFmtId="168" fontId="5" fillId="0" borderId="3" xfId="20" applyNumberFormat="1" applyFont="1" applyFill="1" applyBorder="1" applyAlignment="1" applyProtection="1">
      <alignment horizontal="left" vertical="center"/>
      <protection/>
    </xf>
    <xf numFmtId="168" fontId="5" fillId="2" borderId="2" xfId="20" applyNumberFormat="1" applyFont="1" applyFill="1" applyBorder="1" applyAlignment="1" applyProtection="1">
      <alignment horizontal="center" vertical="center"/>
      <protection/>
    </xf>
    <xf numFmtId="168" fontId="5" fillId="2" borderId="3" xfId="20" applyNumberFormat="1" applyFont="1" applyFill="1" applyBorder="1" applyAlignment="1" applyProtection="1">
      <alignment horizontal="center" vertical="center"/>
      <protection/>
    </xf>
    <xf numFmtId="168" fontId="5" fillId="2" borderId="7" xfId="20" applyNumberFormat="1" applyFont="1" applyFill="1" applyBorder="1" applyAlignment="1" applyProtection="1">
      <alignment horizontal="left" vertical="center"/>
      <protection/>
    </xf>
    <xf numFmtId="0" fontId="10" fillId="2" borderId="1" xfId="20" applyFont="1" applyFill="1" applyBorder="1" applyAlignment="1" applyProtection="1">
      <alignment horizontal="center"/>
      <protection/>
    </xf>
    <xf numFmtId="0" fontId="5" fillId="2" borderId="42" xfId="0" applyFont="1" applyFill="1" applyBorder="1" applyAlignment="1" applyProtection="1">
      <alignment horizontal="center" vertical="top" wrapText="1"/>
      <protection/>
    </xf>
    <xf numFmtId="0" fontId="5" fillId="2" borderId="13" xfId="0" applyFont="1" applyFill="1" applyBorder="1" applyAlignment="1" applyProtection="1">
      <alignment horizontal="center" vertical="top" wrapText="1"/>
      <protection/>
    </xf>
    <xf numFmtId="0" fontId="5" fillId="2" borderId="43" xfId="0" applyFont="1" applyFill="1" applyBorder="1" applyAlignment="1" applyProtection="1">
      <alignment horizontal="center" vertical="top" wrapText="1"/>
      <protection/>
    </xf>
    <xf numFmtId="0" fontId="5" fillId="2" borderId="44" xfId="0" applyFont="1" applyFill="1" applyBorder="1" applyAlignment="1" applyProtection="1">
      <alignment horizontal="center" vertical="top" wrapText="1"/>
      <protection/>
    </xf>
    <xf numFmtId="0" fontId="4" fillId="2" borderId="45" xfId="0" applyFont="1" applyFill="1" applyBorder="1" applyAlignment="1" applyProtection="1">
      <alignment horizontal="left"/>
      <protection/>
    </xf>
    <xf numFmtId="0" fontId="4" fillId="2" borderId="46" xfId="0" applyFont="1" applyFill="1" applyBorder="1" applyAlignment="1" applyProtection="1">
      <alignment horizontal="left"/>
      <protection/>
    </xf>
    <xf numFmtId="0" fontId="5" fillId="2" borderId="43" xfId="0" applyFont="1" applyFill="1" applyBorder="1" applyAlignment="1" applyProtection="1">
      <alignment horizontal="left" vertical="top" wrapText="1"/>
      <protection/>
    </xf>
    <xf numFmtId="0" fontId="5" fillId="2" borderId="44" xfId="0" applyFont="1" applyFill="1" applyBorder="1" applyAlignment="1" applyProtection="1">
      <alignment horizontal="left" vertical="top" wrapText="1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</cellXfs>
  <cellStyles count="13">
    <cellStyle name="Normal" xfId="0"/>
    <cellStyle name="Hyperlink" xfId="15"/>
    <cellStyle name="Followed Hyperlink" xfId="16"/>
    <cellStyle name="Currency" xfId="17"/>
    <cellStyle name="Currency [0]" xfId="18"/>
    <cellStyle name="Normal_Book1" xfId="19"/>
    <cellStyle name="Normal_ModeloEconFinanceiro" xfId="20"/>
    <cellStyle name="Normal_ModeloInzym" xfId="21"/>
    <cellStyle name="Percent" xfId="22"/>
    <cellStyle name="Percentagem_ModeloEconFinanceiro" xfId="23"/>
    <cellStyle name="Percentagem_ModeloInzym" xfId="24"/>
    <cellStyle name="Comma [0]" xfId="25"/>
    <cellStyle name="Comma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31</xdr:row>
      <xdr:rowOff>57150</xdr:rowOff>
    </xdr:from>
    <xdr:to>
      <xdr:col>0</xdr:col>
      <xdr:colOff>1514475</xdr:colOff>
      <xdr:row>33</xdr:row>
      <xdr:rowOff>66675</xdr:rowOff>
    </xdr:to>
    <xdr:sp macro="[0]!Macro1">
      <xdr:nvSpPr>
        <xdr:cNvPr id="2" name="AutoShape 3"/>
        <xdr:cNvSpPr>
          <a:spLocks/>
        </xdr:cNvSpPr>
      </xdr:nvSpPr>
      <xdr:spPr>
        <a:xfrm>
          <a:off x="295275" y="5133975"/>
          <a:ext cx="12192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Acerto do modelo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4</xdr:row>
      <xdr:rowOff>142875</xdr:rowOff>
    </xdr:from>
    <xdr:to>
      <xdr:col>2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0100" y="857250"/>
          <a:ext cx="2466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90"/>
              </a:solidFill>
            </a:rPr>
            <a:t>Colocar o primeiro ano de vigência do projecto</a:t>
          </a:r>
        </a:p>
      </xdr:txBody>
    </xdr:sp>
    <xdr:clientData/>
  </xdr:twoCellAnchor>
  <xdr:twoCellAnchor>
    <xdr:from>
      <xdr:col>2</xdr:col>
      <xdr:colOff>219075</xdr:colOff>
      <xdr:row>5</xdr:row>
      <xdr:rowOff>9525</xdr:rowOff>
    </xdr:from>
    <xdr:to>
      <xdr:col>2</xdr:col>
      <xdr:colOff>428625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3248025" y="895350"/>
          <a:ext cx="209550" cy="304800"/>
        </a:xfrm>
        <a:prstGeom prst="bentArrow">
          <a:avLst/>
        </a:prstGeom>
        <a:solidFill>
          <a:srgbClr val="00009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9"/>
  <sheetViews>
    <sheetView showGridLines="0" workbookViewId="0" topLeftCell="A29">
      <selection activeCell="C37" sqref="C37"/>
    </sheetView>
  </sheetViews>
  <sheetFormatPr defaultColWidth="9.140625" defaultRowHeight="12.75"/>
  <cols>
    <col min="1" max="1" width="3.7109375" style="15" customWidth="1"/>
    <col min="2" max="2" width="9.140625" style="15" customWidth="1"/>
    <col min="3" max="3" width="88.57421875" style="15" customWidth="1"/>
    <col min="4" max="16384" width="9.140625" style="15" customWidth="1"/>
  </cols>
  <sheetData>
    <row r="1" spans="2:3" ht="12.75">
      <c r="B1" s="14"/>
      <c r="C1" s="14"/>
    </row>
    <row r="2" spans="2:3" ht="12.75">
      <c r="B2" s="14"/>
      <c r="C2" s="14"/>
    </row>
    <row r="3" spans="2:3" ht="12.75">
      <c r="B3" s="14"/>
      <c r="C3" s="14"/>
    </row>
    <row r="4" spans="2:3" ht="15.75">
      <c r="B4" s="441" t="s">
        <v>311</v>
      </c>
      <c r="C4" s="441"/>
    </row>
    <row r="5" spans="2:3" ht="13.5">
      <c r="B5" s="14"/>
      <c r="C5" s="14"/>
    </row>
    <row r="6" spans="2:3" ht="13.5">
      <c r="B6" s="14"/>
      <c r="C6" s="14"/>
    </row>
    <row r="7" spans="2:3" ht="29.25" customHeight="1">
      <c r="B7" s="443" t="s">
        <v>412</v>
      </c>
      <c r="C7" s="443"/>
    </row>
    <row r="8" spans="2:3" ht="29.25" customHeight="1">
      <c r="B8" s="443"/>
      <c r="C8" s="443"/>
    </row>
    <row r="9" spans="2:3" ht="29.25" customHeight="1">
      <c r="B9" s="443"/>
      <c r="C9" s="443"/>
    </row>
    <row r="10" spans="2:3" ht="13.5">
      <c r="B10" s="14"/>
      <c r="C10" s="14"/>
    </row>
    <row r="11" spans="2:3" ht="13.5">
      <c r="B11" s="16" t="s">
        <v>230</v>
      </c>
      <c r="C11" s="14"/>
    </row>
    <row r="12" spans="2:3" ht="13.5">
      <c r="B12" s="16"/>
      <c r="C12" s="14"/>
    </row>
    <row r="13" spans="2:3" ht="12.75">
      <c r="B13" s="442" t="s">
        <v>229</v>
      </c>
      <c r="C13" s="442"/>
    </row>
    <row r="14" spans="2:3" ht="12.75">
      <c r="B14" s="442" t="s">
        <v>310</v>
      </c>
      <c r="C14" s="442"/>
    </row>
    <row r="15" spans="2:3" ht="12.75" customHeight="1">
      <c r="B15" s="440" t="s">
        <v>281</v>
      </c>
      <c r="C15" s="440"/>
    </row>
    <row r="16" spans="2:3" ht="12.75" customHeight="1">
      <c r="B16" s="440" t="s">
        <v>273</v>
      </c>
      <c r="C16" s="440"/>
    </row>
    <row r="17" spans="2:3" ht="13.5">
      <c r="B17" s="17"/>
      <c r="C17" s="18"/>
    </row>
    <row r="18" spans="2:3" ht="13.5">
      <c r="B18" s="17"/>
      <c r="C18" s="18"/>
    </row>
    <row r="19" spans="2:3" ht="13.5">
      <c r="B19" s="11" t="s">
        <v>228</v>
      </c>
      <c r="C19" s="18"/>
    </row>
    <row r="20" spans="2:3" ht="13.5">
      <c r="B20" s="11"/>
      <c r="C20" s="18"/>
    </row>
    <row r="21" spans="2:3" ht="40.5" customHeight="1">
      <c r="B21" s="22">
        <v>1</v>
      </c>
      <c r="C21" s="19" t="s">
        <v>415</v>
      </c>
    </row>
    <row r="22" spans="2:3" ht="13.5">
      <c r="B22" s="11"/>
      <c r="C22" s="18"/>
    </row>
    <row r="23" spans="2:3" ht="40.5" customHeight="1">
      <c r="B23" s="22">
        <v>2</v>
      </c>
      <c r="C23" s="19" t="s">
        <v>368</v>
      </c>
    </row>
    <row r="24" spans="2:3" ht="13.5">
      <c r="B24" s="11"/>
      <c r="C24" s="18"/>
    </row>
    <row r="25" spans="2:3" ht="40.5" customHeight="1">
      <c r="B25" s="22">
        <v>3</v>
      </c>
      <c r="C25" s="19" t="s">
        <v>416</v>
      </c>
    </row>
    <row r="26" spans="2:3" ht="12.75">
      <c r="B26" s="12"/>
      <c r="C26" s="12"/>
    </row>
    <row r="27" spans="2:3" ht="40.5" customHeight="1">
      <c r="B27" s="22">
        <v>4</v>
      </c>
      <c r="C27" s="19" t="s">
        <v>231</v>
      </c>
    </row>
    <row r="28" spans="2:3" ht="12.75">
      <c r="B28" s="12"/>
      <c r="C28" s="12"/>
    </row>
    <row r="29" spans="2:3" ht="40.5" customHeight="1">
      <c r="B29" s="22">
        <v>5</v>
      </c>
      <c r="C29" s="20" t="s">
        <v>232</v>
      </c>
    </row>
    <row r="30" spans="2:3" ht="12.75">
      <c r="B30" s="12"/>
      <c r="C30" s="12"/>
    </row>
    <row r="31" spans="2:3" ht="40.5" customHeight="1">
      <c r="B31" s="22">
        <v>6</v>
      </c>
      <c r="C31" s="19" t="s">
        <v>233</v>
      </c>
    </row>
    <row r="32" spans="2:3" ht="13.5">
      <c r="B32" s="13"/>
      <c r="C32" s="14"/>
    </row>
    <row r="33" spans="2:3" ht="40.5" customHeight="1">
      <c r="B33" s="22">
        <v>7</v>
      </c>
      <c r="C33" s="19" t="s">
        <v>234</v>
      </c>
    </row>
    <row r="34" spans="2:3" ht="13.5">
      <c r="B34" s="14"/>
      <c r="C34" s="14"/>
    </row>
    <row r="35" spans="2:3" ht="40.5" customHeight="1">
      <c r="B35" s="22">
        <v>8</v>
      </c>
      <c r="C35" s="21" t="s">
        <v>312</v>
      </c>
    </row>
    <row r="36" spans="2:3" ht="13.5">
      <c r="B36" s="14"/>
      <c r="C36" s="14"/>
    </row>
    <row r="37" spans="2:3" ht="40.5" customHeight="1">
      <c r="B37" s="22">
        <v>9</v>
      </c>
      <c r="C37" s="21" t="s">
        <v>417</v>
      </c>
    </row>
    <row r="38" spans="2:3" ht="13.5">
      <c r="B38" s="14"/>
      <c r="C38" s="14"/>
    </row>
    <row r="39" spans="2:3" ht="40.5" customHeight="1">
      <c r="B39" s="22">
        <v>10</v>
      </c>
      <c r="C39" s="21" t="s">
        <v>414</v>
      </c>
    </row>
  </sheetData>
  <sheetProtection password="8618" sheet="1" objects="1" scenarios="1"/>
  <mergeCells count="6">
    <mergeCell ref="B15:C15"/>
    <mergeCell ref="B16:C16"/>
    <mergeCell ref="B4:C4"/>
    <mergeCell ref="B13:C13"/>
    <mergeCell ref="B14:C14"/>
    <mergeCell ref="B7:C9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G38"/>
  <sheetViews>
    <sheetView showGridLines="0" showZeros="0" workbookViewId="0" topLeftCell="A1">
      <selection activeCell="B11" sqref="B11"/>
    </sheetView>
  </sheetViews>
  <sheetFormatPr defaultColWidth="9.140625" defaultRowHeight="12.75"/>
  <cols>
    <col min="1" max="1" width="40.8515625" style="111" customWidth="1"/>
    <col min="2" max="6" width="11.421875" style="111" customWidth="1"/>
    <col min="7" max="7" width="11.8515625" style="111" customWidth="1"/>
    <col min="8" max="16384" width="8.7109375" style="111" customWidth="1"/>
  </cols>
  <sheetData>
    <row r="1" spans="1:7" ht="12.75">
      <c r="A1" s="101"/>
      <c r="B1" s="101"/>
      <c r="C1" s="136"/>
      <c r="D1" s="90"/>
      <c r="E1" s="90"/>
      <c r="F1" s="138" t="s">
        <v>120</v>
      </c>
      <c r="G1" s="138" t="str">
        <f>+Pressupostos!E1</f>
        <v>XPTO, Lda</v>
      </c>
    </row>
    <row r="2" spans="1:7" ht="12.75">
      <c r="A2" s="101"/>
      <c r="B2" s="101"/>
      <c r="C2" s="101"/>
      <c r="D2" s="101"/>
      <c r="E2" s="101"/>
      <c r="F2" s="101"/>
      <c r="G2" s="95" t="str">
        <f>+Pressupostos!B9</f>
        <v>Euros</v>
      </c>
    </row>
    <row r="3" spans="1:7" ht="12.75">
      <c r="A3" s="101"/>
      <c r="B3" s="101"/>
      <c r="C3" s="101"/>
      <c r="D3" s="101"/>
      <c r="E3" s="101"/>
      <c r="F3" s="101"/>
      <c r="G3" s="95"/>
    </row>
    <row r="4" spans="1:7" ht="15.75">
      <c r="A4" s="458" t="s">
        <v>113</v>
      </c>
      <c r="B4" s="458"/>
      <c r="C4" s="458"/>
      <c r="D4" s="458"/>
      <c r="E4" s="458"/>
      <c r="F4" s="458"/>
      <c r="G4" s="458"/>
    </row>
    <row r="5" spans="1:7" ht="12.75">
      <c r="A5" s="101"/>
      <c r="B5" s="197"/>
      <c r="C5" s="101"/>
      <c r="D5" s="101"/>
      <c r="E5" s="101"/>
      <c r="F5" s="101"/>
      <c r="G5" s="101"/>
    </row>
    <row r="6" spans="1:7" ht="12.75">
      <c r="A6" s="101"/>
      <c r="B6" s="295"/>
      <c r="C6" s="101"/>
      <c r="D6" s="101"/>
      <c r="E6" s="101"/>
      <c r="F6" s="101"/>
      <c r="G6" s="101"/>
    </row>
    <row r="7" spans="1:7" ht="12.75">
      <c r="A7" s="185"/>
      <c r="B7" s="97">
        <f>+VN!C8</f>
        <v>2007</v>
      </c>
      <c r="C7" s="97">
        <f>+VN!D8</f>
        <v>2008</v>
      </c>
      <c r="D7" s="97">
        <f>+VN!E8</f>
        <v>2009</v>
      </c>
      <c r="E7" s="97">
        <f>+VN!F8</f>
        <v>2010</v>
      </c>
      <c r="F7" s="97">
        <f>+VN!G8</f>
        <v>2011</v>
      </c>
      <c r="G7" s="97">
        <f>+VN!H8</f>
        <v>2012</v>
      </c>
    </row>
    <row r="8" spans="1:7" ht="12.75">
      <c r="A8" s="185" t="s">
        <v>90</v>
      </c>
      <c r="B8" s="296">
        <f>+VN!C29+VN!C41</f>
        <v>0</v>
      </c>
      <c r="C8" s="296">
        <f>+VN!D29+VN!D41</f>
        <v>0</v>
      </c>
      <c r="D8" s="296">
        <f>+VN!E29+VN!E41</f>
        <v>0</v>
      </c>
      <c r="E8" s="296">
        <f>+VN!F29+VN!F41</f>
        <v>0</v>
      </c>
      <c r="F8" s="296">
        <f>+VN!G29+VN!G41</f>
        <v>0</v>
      </c>
      <c r="G8" s="296">
        <f>+VN!H29+VN!H41</f>
        <v>0</v>
      </c>
    </row>
    <row r="9" spans="1:7" ht="12.75">
      <c r="A9" s="185" t="s">
        <v>101</v>
      </c>
      <c r="B9" s="296">
        <f>+VN!C54+VN!C66</f>
        <v>0</v>
      </c>
      <c r="C9" s="296">
        <f>+VN!D54+VN!D66</f>
        <v>0</v>
      </c>
      <c r="D9" s="296">
        <f>+VN!E54+VN!E66</f>
        <v>0</v>
      </c>
      <c r="E9" s="296">
        <f>+VN!F54+VN!F66</f>
        <v>0</v>
      </c>
      <c r="F9" s="296">
        <f>+VN!G54+VN!G66</f>
        <v>0</v>
      </c>
      <c r="G9" s="296">
        <f>+VN!H54+VN!H66</f>
        <v>0</v>
      </c>
    </row>
    <row r="10" spans="1:7" ht="13.5" thickBot="1">
      <c r="A10" s="297" t="s">
        <v>31</v>
      </c>
      <c r="B10" s="59">
        <f aca="true" t="shared" si="0" ref="B10:G10">SUM(B8:B9)</f>
        <v>0</v>
      </c>
      <c r="C10" s="59">
        <f t="shared" si="0"/>
        <v>0</v>
      </c>
      <c r="D10" s="59">
        <f t="shared" si="0"/>
        <v>0</v>
      </c>
      <c r="E10" s="59">
        <f t="shared" si="0"/>
        <v>0</v>
      </c>
      <c r="F10" s="59">
        <f t="shared" si="0"/>
        <v>0</v>
      </c>
      <c r="G10" s="59">
        <f t="shared" si="0"/>
        <v>0</v>
      </c>
    </row>
    <row r="11" spans="1:7" ht="13.5" thickTop="1">
      <c r="A11" s="185" t="s">
        <v>239</v>
      </c>
      <c r="B11" s="3"/>
      <c r="C11" s="3"/>
      <c r="D11" s="3"/>
      <c r="E11" s="3"/>
      <c r="F11" s="3"/>
      <c r="G11" s="3"/>
    </row>
    <row r="12" spans="1:7" ht="12.75">
      <c r="A12" s="185" t="s">
        <v>35</v>
      </c>
      <c r="B12" s="296">
        <f>+CMVMC!C16</f>
        <v>0</v>
      </c>
      <c r="C12" s="296">
        <f>+CMVMC!D16</f>
        <v>0</v>
      </c>
      <c r="D12" s="296">
        <f>+CMVMC!E16</f>
        <v>0</v>
      </c>
      <c r="E12" s="296">
        <f>+CMVMC!F16</f>
        <v>0</v>
      </c>
      <c r="F12" s="296">
        <f>+CMVMC!G16</f>
        <v>0</v>
      </c>
      <c r="G12" s="296">
        <f>+CMVMC!H16</f>
        <v>0</v>
      </c>
    </row>
    <row r="13" spans="1:7" ht="12.75">
      <c r="A13" s="185" t="s">
        <v>65</v>
      </c>
      <c r="B13" s="296">
        <f>+FSE!F43</f>
        <v>0</v>
      </c>
      <c r="C13" s="296">
        <f>+FSE!G43</f>
        <v>0</v>
      </c>
      <c r="D13" s="296">
        <f>+FSE!H43</f>
        <v>0</v>
      </c>
      <c r="E13" s="296">
        <f>+FSE!I43</f>
        <v>0</v>
      </c>
      <c r="F13" s="296">
        <f>+FSE!J43</f>
        <v>0</v>
      </c>
      <c r="G13" s="296">
        <f>+FSE!K43</f>
        <v>0</v>
      </c>
    </row>
    <row r="14" spans="1:7" ht="13.5" thickBot="1">
      <c r="A14" s="297" t="s">
        <v>15</v>
      </c>
      <c r="B14" s="59">
        <f aca="true" t="shared" si="1" ref="B14:G14">+B10-B11-B12-B13</f>
        <v>0</v>
      </c>
      <c r="C14" s="59">
        <f t="shared" si="1"/>
        <v>0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</row>
    <row r="15" spans="1:7" ht="14.25" thickBot="1" thickTop="1">
      <c r="A15" s="180"/>
      <c r="B15" s="298" t="e">
        <f aca="true" t="shared" si="2" ref="B15:G15">+B14/B10</f>
        <v>#DIV/0!</v>
      </c>
      <c r="C15" s="298" t="e">
        <f t="shared" si="2"/>
        <v>#DIV/0!</v>
      </c>
      <c r="D15" s="298" t="e">
        <f t="shared" si="2"/>
        <v>#DIV/0!</v>
      </c>
      <c r="E15" s="298" t="e">
        <f t="shared" si="2"/>
        <v>#DIV/0!</v>
      </c>
      <c r="F15" s="298" t="e">
        <f t="shared" si="2"/>
        <v>#DIV/0!</v>
      </c>
      <c r="G15" s="298" t="e">
        <f t="shared" si="2"/>
        <v>#DIV/0!</v>
      </c>
    </row>
    <row r="16" spans="1:7" ht="13.5" thickTop="1">
      <c r="A16" s="185" t="s">
        <v>66</v>
      </c>
      <c r="B16" s="296">
        <f>+FSE!F41</f>
        <v>0</v>
      </c>
      <c r="C16" s="296">
        <f>+FSE!G41</f>
        <v>0</v>
      </c>
      <c r="D16" s="296">
        <f>+FSE!H41</f>
        <v>0</v>
      </c>
      <c r="E16" s="296">
        <f>+FSE!I41</f>
        <v>0</v>
      </c>
      <c r="F16" s="296">
        <f>+FSE!J41</f>
        <v>0</v>
      </c>
      <c r="G16" s="296">
        <f>+FSE!K41</f>
        <v>0</v>
      </c>
    </row>
    <row r="17" spans="1:7" ht="13.5" thickBot="1">
      <c r="A17" s="297" t="s">
        <v>36</v>
      </c>
      <c r="B17" s="59">
        <f aca="true" t="shared" si="3" ref="B17:G17">+B14-B16</f>
        <v>0</v>
      </c>
      <c r="C17" s="59">
        <f t="shared" si="3"/>
        <v>0</v>
      </c>
      <c r="D17" s="59">
        <f t="shared" si="3"/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</row>
    <row r="18" spans="1:7" ht="13.5" thickTop="1">
      <c r="A18" s="185" t="s">
        <v>91</v>
      </c>
      <c r="B18" s="3"/>
      <c r="C18" s="3"/>
      <c r="D18" s="3"/>
      <c r="E18" s="3"/>
      <c r="F18" s="3"/>
      <c r="G18" s="3"/>
    </row>
    <row r="19" spans="1:7" ht="13.5" thickBot="1">
      <c r="A19" s="185" t="s">
        <v>13</v>
      </c>
      <c r="B19" s="296">
        <f>+'Custos Pessoal'!D79</f>
        <v>0</v>
      </c>
      <c r="C19" s="296">
        <f>+'Custos Pessoal'!E79</f>
        <v>0</v>
      </c>
      <c r="D19" s="296">
        <f>+'Custos Pessoal'!F79</f>
        <v>0</v>
      </c>
      <c r="E19" s="296">
        <f>+'Custos Pessoal'!G79</f>
        <v>0</v>
      </c>
      <c r="F19" s="296">
        <f>+'Custos Pessoal'!H79</f>
        <v>0</v>
      </c>
      <c r="G19" s="296">
        <f>+'Custos Pessoal'!I79</f>
        <v>0</v>
      </c>
    </row>
    <row r="20" spans="1:7" ht="14.25" thickBot="1" thickTop="1">
      <c r="A20" s="185" t="s">
        <v>92</v>
      </c>
      <c r="B20" s="298" t="e">
        <f aca="true" t="shared" si="4" ref="B20:G20">+B19/B10</f>
        <v>#DIV/0!</v>
      </c>
      <c r="C20" s="298" t="e">
        <f t="shared" si="4"/>
        <v>#DIV/0!</v>
      </c>
      <c r="D20" s="298" t="e">
        <f t="shared" si="4"/>
        <v>#DIV/0!</v>
      </c>
      <c r="E20" s="298" t="e">
        <f t="shared" si="4"/>
        <v>#DIV/0!</v>
      </c>
      <c r="F20" s="298" t="e">
        <f t="shared" si="4"/>
        <v>#DIV/0!</v>
      </c>
      <c r="G20" s="298" t="e">
        <f t="shared" si="4"/>
        <v>#DIV/0!</v>
      </c>
    </row>
    <row r="21" spans="1:7" ht="13.5" thickTop="1">
      <c r="A21" s="185" t="s">
        <v>67</v>
      </c>
      <c r="B21" s="3"/>
      <c r="C21" s="3"/>
      <c r="D21" s="3"/>
      <c r="E21" s="3"/>
      <c r="F21" s="3"/>
      <c r="G21" s="3"/>
    </row>
    <row r="22" spans="1:7" ht="12.75">
      <c r="A22" s="185" t="s">
        <v>308</v>
      </c>
      <c r="B22" s="3"/>
      <c r="C22" s="3"/>
      <c r="D22" s="3"/>
      <c r="E22" s="3"/>
      <c r="F22" s="3"/>
      <c r="G22" s="3"/>
    </row>
    <row r="23" spans="1:7" ht="13.5" thickBot="1">
      <c r="A23" s="297" t="s">
        <v>98</v>
      </c>
      <c r="B23" s="59">
        <f aca="true" t="shared" si="5" ref="B23:G23">+B17-B18-B19-B21+B22</f>
        <v>0</v>
      </c>
      <c r="C23" s="59">
        <f t="shared" si="5"/>
        <v>0</v>
      </c>
      <c r="D23" s="59">
        <f t="shared" si="5"/>
        <v>0</v>
      </c>
      <c r="E23" s="59">
        <f t="shared" si="5"/>
        <v>0</v>
      </c>
      <c r="F23" s="59">
        <f t="shared" si="5"/>
        <v>0</v>
      </c>
      <c r="G23" s="59">
        <f t="shared" si="5"/>
        <v>0</v>
      </c>
    </row>
    <row r="24" spans="1:7" ht="13.5" thickTop="1">
      <c r="A24" s="185" t="s">
        <v>93</v>
      </c>
      <c r="B24" s="296">
        <f>Investimento!C138</f>
        <v>0</v>
      </c>
      <c r="C24" s="296">
        <f>Investimento!D138</f>
        <v>0</v>
      </c>
      <c r="D24" s="296">
        <f>Investimento!E138</f>
        <v>0</v>
      </c>
      <c r="E24" s="296">
        <f>Investimento!F138</f>
        <v>0</v>
      </c>
      <c r="F24" s="296">
        <f>Investimento!G138</f>
        <v>0</v>
      </c>
      <c r="G24" s="296">
        <f>Investimento!H138</f>
        <v>0</v>
      </c>
    </row>
    <row r="25" spans="1:7" ht="12.75">
      <c r="A25" s="185" t="s">
        <v>405</v>
      </c>
      <c r="B25" s="296">
        <f>+VN!C87</f>
        <v>0</v>
      </c>
      <c r="C25" s="296">
        <f>+VN!D87</f>
        <v>0</v>
      </c>
      <c r="D25" s="296">
        <f>+VN!E87</f>
        <v>0</v>
      </c>
      <c r="E25" s="296">
        <f>+VN!F87</f>
        <v>0</v>
      </c>
      <c r="F25" s="296">
        <f>+VN!G87</f>
        <v>0</v>
      </c>
      <c r="G25" s="296">
        <f>+VN!H87</f>
        <v>0</v>
      </c>
    </row>
    <row r="26" spans="1:7" ht="13.5" thickBot="1">
      <c r="A26" s="297" t="s">
        <v>99</v>
      </c>
      <c r="B26" s="59">
        <f aca="true" t="shared" si="6" ref="B26:G26">+B23-B24-B25</f>
        <v>0</v>
      </c>
      <c r="C26" s="59">
        <f t="shared" si="6"/>
        <v>0</v>
      </c>
      <c r="D26" s="59">
        <f t="shared" si="6"/>
        <v>0</v>
      </c>
      <c r="E26" s="59">
        <f t="shared" si="6"/>
        <v>0</v>
      </c>
      <c r="F26" s="59">
        <f t="shared" si="6"/>
        <v>0</v>
      </c>
      <c r="G26" s="59">
        <f t="shared" si="6"/>
        <v>0</v>
      </c>
    </row>
    <row r="27" spans="1:7" ht="13.5" thickTop="1">
      <c r="A27" s="185" t="s">
        <v>94</v>
      </c>
      <c r="B27" s="296">
        <f>Financiamento!C79+IF(PlanoFinanceiro!C29&lt;0,-PlanoFinanceiro!C29*Pressupostos!$B$26,0)</f>
        <v>0</v>
      </c>
      <c r="C27" s="296">
        <f>Financiamento!D79+IF(PlanoFinanceiro!D29&lt;0,-PlanoFinanceiro!D29*Pressupostos!$B$26,0)</f>
        <v>0</v>
      </c>
      <c r="D27" s="296">
        <f>Financiamento!E79+IF(PlanoFinanceiro!E29&lt;0,-PlanoFinanceiro!E29*Pressupostos!$B$26,0)</f>
        <v>0</v>
      </c>
      <c r="E27" s="296">
        <f>Financiamento!F79+IF(PlanoFinanceiro!F29&lt;0,-PlanoFinanceiro!F29*Pressupostos!$B$26,0)</f>
        <v>2.2737367544323207E-14</v>
      </c>
      <c r="F27" s="296">
        <f>Financiamento!G79+IF(PlanoFinanceiro!G29&lt;0,-PlanoFinanceiro!G29*Pressupostos!$B$26,0)</f>
        <v>1.1368683772161604E-14</v>
      </c>
      <c r="G27" s="296">
        <f>Financiamento!H79+IF(PlanoFinanceiro!H29&lt;0,-PlanoFinanceiro!H29*Pressupostos!$B$26,0)</f>
        <v>1.1368683772161604E-14</v>
      </c>
    </row>
    <row r="28" spans="1:7" ht="12.75">
      <c r="A28" s="185" t="s">
        <v>95</v>
      </c>
      <c r="B28" s="296">
        <f>+IF(PlanoFinanceiro!C29&gt;0,PlanoFinanceiro!C29*Pressupostos!$B$24,0)</f>
        <v>0</v>
      </c>
      <c r="C28" s="296">
        <f>+IF(PlanoFinanceiro!D29&gt;0,PlanoFinanceiro!D29*Pressupostos!$B$24,0)</f>
        <v>9.094947017729283E-15</v>
      </c>
      <c r="D28" s="296">
        <f>+IF(PlanoFinanceiro!E29&gt;0,PlanoFinanceiro!E29*Pressupostos!$B$24,0)</f>
        <v>0</v>
      </c>
      <c r="E28" s="296">
        <f>+IF(PlanoFinanceiro!F29&gt;0,PlanoFinanceiro!F29*Pressupostos!$B$24,0)</f>
        <v>0</v>
      </c>
      <c r="F28" s="296">
        <f>+IF(PlanoFinanceiro!G29&gt;0,PlanoFinanceiro!G29*Pressupostos!$B$24,0)</f>
        <v>0</v>
      </c>
      <c r="G28" s="296">
        <f>+IF(PlanoFinanceiro!H29&gt;0,PlanoFinanceiro!H29*Pressupostos!$B$24,0)</f>
        <v>0</v>
      </c>
    </row>
    <row r="29" spans="1:7" ht="13.5" thickBot="1">
      <c r="A29" s="297" t="s">
        <v>96</v>
      </c>
      <c r="B29" s="59">
        <f aca="true" t="shared" si="7" ref="B29:G29">+B28-B27</f>
        <v>0</v>
      </c>
      <c r="C29" s="59">
        <f t="shared" si="7"/>
        <v>9.094947017729283E-15</v>
      </c>
      <c r="D29" s="59">
        <f t="shared" si="7"/>
        <v>0</v>
      </c>
      <c r="E29" s="59">
        <f t="shared" si="7"/>
        <v>-2.2737367544323207E-14</v>
      </c>
      <c r="F29" s="59">
        <f t="shared" si="7"/>
        <v>-1.1368683772161604E-14</v>
      </c>
      <c r="G29" s="59">
        <f t="shared" si="7"/>
        <v>-1.1368683772161604E-14</v>
      </c>
    </row>
    <row r="30" spans="1:7" ht="13.5" thickTop="1">
      <c r="A30" s="185" t="s">
        <v>364</v>
      </c>
      <c r="B30" s="3"/>
      <c r="C30" s="3"/>
      <c r="D30" s="3"/>
      <c r="E30" s="3"/>
      <c r="F30" s="3"/>
      <c r="G30" s="3"/>
    </row>
    <row r="31" spans="1:7" ht="12.75">
      <c r="A31" s="185" t="s">
        <v>365</v>
      </c>
      <c r="B31" s="3"/>
      <c r="C31" s="3"/>
      <c r="D31" s="3"/>
      <c r="E31" s="3"/>
      <c r="F31" s="3"/>
      <c r="G31" s="3"/>
    </row>
    <row r="32" spans="1:7" ht="13.5" thickBot="1">
      <c r="A32" s="297" t="s">
        <v>100</v>
      </c>
      <c r="B32" s="59">
        <f aca="true" t="shared" si="8" ref="B32:G32">+B26+B29-B30+B31</f>
        <v>0</v>
      </c>
      <c r="C32" s="59">
        <f t="shared" si="8"/>
        <v>9.094947017729283E-15</v>
      </c>
      <c r="D32" s="59">
        <f t="shared" si="8"/>
        <v>0</v>
      </c>
      <c r="E32" s="59">
        <f t="shared" si="8"/>
        <v>-2.2737367544323207E-14</v>
      </c>
      <c r="F32" s="59">
        <f t="shared" si="8"/>
        <v>-1.1368683772161604E-14</v>
      </c>
      <c r="G32" s="59">
        <f t="shared" si="8"/>
        <v>-1.1368683772161604E-14</v>
      </c>
    </row>
    <row r="33" spans="1:7" ht="13.5" thickTop="1">
      <c r="A33" s="185" t="s">
        <v>97</v>
      </c>
      <c r="B33" s="296">
        <f>IF(B32&gt;0,B32*Pressupostos!$B$21,0)</f>
        <v>0</v>
      </c>
      <c r="C33" s="296">
        <f>IF(C32+C35&lt;0,0,(C32+C35)*Pressupostos!$B$21)</f>
        <v>2.2737367544323206E-15</v>
      </c>
      <c r="D33" s="296">
        <f>IF(D32+D35&lt;0,0,(D32+D35)*Pressupostos!$B$21)</f>
        <v>0</v>
      </c>
      <c r="E33" s="296">
        <f>IF(E32+E35&lt;0,0,(E32+E35)*Pressupostos!$B$21)</f>
        <v>0</v>
      </c>
      <c r="F33" s="296">
        <f>IF(F32+F35&lt;0,0,(F32+F35)*Pressupostos!$B$21)</f>
        <v>0</v>
      </c>
      <c r="G33" s="296">
        <f>IF(G32+G35&lt;0,0,(G32+G35)*Pressupostos!$B$21)</f>
        <v>0</v>
      </c>
    </row>
    <row r="34" spans="1:7" ht="13.5" thickBot="1">
      <c r="A34" s="297" t="s">
        <v>332</v>
      </c>
      <c r="B34" s="59">
        <f aca="true" t="shared" si="9" ref="B34:G34">+B32-B33</f>
        <v>0</v>
      </c>
      <c r="C34" s="59">
        <f t="shared" si="9"/>
        <v>6.8212102632969615E-15</v>
      </c>
      <c r="D34" s="59">
        <f t="shared" si="9"/>
        <v>0</v>
      </c>
      <c r="E34" s="59">
        <f t="shared" si="9"/>
        <v>-2.2737367544323207E-14</v>
      </c>
      <c r="F34" s="59">
        <f t="shared" si="9"/>
        <v>-1.1368683772161604E-14</v>
      </c>
      <c r="G34" s="59">
        <f t="shared" si="9"/>
        <v>-1.1368683772161604E-14</v>
      </c>
    </row>
    <row r="35" spans="1:7" ht="13.5" thickTop="1">
      <c r="A35" s="189"/>
      <c r="B35" s="299"/>
      <c r="C35" s="299">
        <f>IF(B34&lt;0,B34,0)</f>
        <v>0</v>
      </c>
      <c r="D35" s="299">
        <f>IF(C34+C35&lt;0,C34+C35,0)</f>
        <v>0</v>
      </c>
      <c r="E35" s="299">
        <f>IF(D34+D35&lt;0,D34+D35,0)</f>
        <v>0</v>
      </c>
      <c r="F35" s="299">
        <f>IF(E34+E35&lt;0,E34+E35,0)</f>
        <v>-2.2737367544323207E-14</v>
      </c>
      <c r="G35" s="299">
        <f>IF(F34+F35&lt;0,F34+F35,0)</f>
        <v>-3.4106051316484814E-14</v>
      </c>
    </row>
    <row r="36" spans="1:7" ht="13.5" thickBot="1">
      <c r="A36" s="297" t="s">
        <v>14</v>
      </c>
      <c r="B36" s="300" t="e">
        <f aca="true" t="shared" si="10" ref="B36:G36">(+B16+B18+B19+B24)/B10</f>
        <v>#DIV/0!</v>
      </c>
      <c r="C36" s="300" t="e">
        <f t="shared" si="10"/>
        <v>#DIV/0!</v>
      </c>
      <c r="D36" s="300" t="e">
        <f t="shared" si="10"/>
        <v>#DIV/0!</v>
      </c>
      <c r="E36" s="300" t="e">
        <f t="shared" si="10"/>
        <v>#DIV/0!</v>
      </c>
      <c r="F36" s="300" t="e">
        <f t="shared" si="10"/>
        <v>#DIV/0!</v>
      </c>
      <c r="G36" s="300" t="e">
        <f t="shared" si="10"/>
        <v>#DIV/0!</v>
      </c>
    </row>
    <row r="37" spans="1:7" ht="14.25" thickBot="1" thickTop="1">
      <c r="A37" s="297" t="s">
        <v>333</v>
      </c>
      <c r="B37" s="300" t="e">
        <f aca="true" t="shared" si="11" ref="B37:G37">+B34/B10</f>
        <v>#DIV/0!</v>
      </c>
      <c r="C37" s="300" t="e">
        <f t="shared" si="11"/>
        <v>#DIV/0!</v>
      </c>
      <c r="D37" s="300" t="e">
        <f t="shared" si="11"/>
        <v>#DIV/0!</v>
      </c>
      <c r="E37" s="300" t="e">
        <f t="shared" si="11"/>
        <v>#DIV/0!</v>
      </c>
      <c r="F37" s="300" t="e">
        <f t="shared" si="11"/>
        <v>#DIV/0!</v>
      </c>
      <c r="G37" s="300" t="e">
        <f t="shared" si="11"/>
        <v>#DIV/0!</v>
      </c>
    </row>
    <row r="38" spans="2:7" ht="13.5" thickTop="1">
      <c r="B38" s="301"/>
      <c r="C38" s="301">
        <f>+IF(C34&gt;0,C34*Pressupostos!C22,0)</f>
        <v>0</v>
      </c>
      <c r="D38" s="301"/>
      <c r="E38" s="301">
        <f>+IF(E34&gt;0,E34*Pressupostos!E22,0)</f>
        <v>0</v>
      </c>
      <c r="F38" s="301">
        <f>+IF(F34&gt;0,F34*Pressupostos!F22,0)</f>
        <v>0</v>
      </c>
      <c r="G38" s="301">
        <f>+IF(G34&gt;0,G34*Pressupostos!G22,0)</f>
        <v>0</v>
      </c>
    </row>
  </sheetData>
  <sheetProtection password="86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C9" sqref="C9"/>
    </sheetView>
  </sheetViews>
  <sheetFormatPr defaultColWidth="9.140625" defaultRowHeight="12.75"/>
  <cols>
    <col min="1" max="1" width="30.8515625" style="304" customWidth="1"/>
    <col min="2" max="2" width="7.57421875" style="304" customWidth="1"/>
    <col min="3" max="13" width="11.421875" style="304" customWidth="1"/>
    <col min="14" max="16384" width="8.7109375" style="304" customWidth="1"/>
  </cols>
  <sheetData>
    <row r="1" spans="1:8" ht="12.75">
      <c r="A1" s="302"/>
      <c r="B1" s="302"/>
      <c r="C1" s="194"/>
      <c r="D1" s="194"/>
      <c r="E1" s="194"/>
      <c r="F1" s="194"/>
      <c r="G1" s="195" t="s">
        <v>120</v>
      </c>
      <c r="H1" s="303" t="str">
        <f>+Pressupostos!E1</f>
        <v>XPTO, Lda</v>
      </c>
    </row>
    <row r="2" spans="1:8" ht="12.75">
      <c r="A2" s="101"/>
      <c r="B2" s="101"/>
      <c r="C2" s="101"/>
      <c r="D2" s="101"/>
      <c r="E2" s="101"/>
      <c r="F2" s="101"/>
      <c r="G2" s="101"/>
      <c r="H2" s="95" t="str">
        <f>+Pressupostos!B9</f>
        <v>Euros</v>
      </c>
    </row>
    <row r="3" spans="1:8" ht="12.75">
      <c r="A3" s="101"/>
      <c r="B3" s="101"/>
      <c r="C3" s="101"/>
      <c r="D3" s="101"/>
      <c r="E3" s="101"/>
      <c r="F3" s="101"/>
      <c r="G3" s="101"/>
      <c r="H3" s="95"/>
    </row>
    <row r="4" spans="1:8" ht="13.5" customHeight="1">
      <c r="A4" s="458" t="s">
        <v>115</v>
      </c>
      <c r="B4" s="458"/>
      <c r="C4" s="458"/>
      <c r="D4" s="458"/>
      <c r="E4" s="458"/>
      <c r="F4" s="458"/>
      <c r="G4" s="458"/>
      <c r="H4" s="458"/>
    </row>
    <row r="5" spans="1:8" ht="12.75" customHeight="1">
      <c r="A5" s="101"/>
      <c r="B5" s="197"/>
      <c r="C5" s="197"/>
      <c r="D5" s="101"/>
      <c r="E5" s="101"/>
      <c r="F5" s="101"/>
      <c r="G5" s="101"/>
      <c r="H5" s="101"/>
    </row>
    <row r="6" spans="1:8" ht="12.75">
      <c r="A6" s="101"/>
      <c r="B6" s="184"/>
      <c r="C6" s="197"/>
      <c r="D6" s="101"/>
      <c r="E6" s="101"/>
      <c r="F6" s="101"/>
      <c r="G6" s="101"/>
      <c r="H6" s="101"/>
    </row>
    <row r="7" spans="1:8" ht="12.75">
      <c r="A7" s="185"/>
      <c r="B7" s="178"/>
      <c r="C7" s="97">
        <f>+VN!C8</f>
        <v>2007</v>
      </c>
      <c r="D7" s="97">
        <f>+VN!D8</f>
        <v>2008</v>
      </c>
      <c r="E7" s="97">
        <f>+VN!E8</f>
        <v>2009</v>
      </c>
      <c r="F7" s="97">
        <f>+VN!F8</f>
        <v>2010</v>
      </c>
      <c r="G7" s="97">
        <f>+VN!G8</f>
        <v>2011</v>
      </c>
      <c r="H7" s="97">
        <f>+VN!H8</f>
        <v>2012</v>
      </c>
    </row>
    <row r="8" spans="1:8" ht="12.75">
      <c r="A8" s="112" t="s">
        <v>167</v>
      </c>
      <c r="B8" s="178"/>
      <c r="C8" s="97"/>
      <c r="D8" s="97"/>
      <c r="E8" s="97"/>
      <c r="F8" s="97"/>
      <c r="G8" s="97"/>
      <c r="H8" s="97"/>
    </row>
    <row r="9" spans="1:8" ht="12.75">
      <c r="A9" s="305" t="s">
        <v>261</v>
      </c>
      <c r="B9" s="306"/>
      <c r="C9" s="161">
        <f>+'DR'!B26*(1-Pressupostos!$B$21)</f>
        <v>0</v>
      </c>
      <c r="D9" s="161">
        <f>+'DR'!C26*(1-Pressupostos!$B$21)</f>
        <v>0</v>
      </c>
      <c r="E9" s="161">
        <f>+'DR'!D26*(1-Pressupostos!$B$21)</f>
        <v>0</v>
      </c>
      <c r="F9" s="161">
        <f>+'DR'!E26*(1-Pressupostos!$B$21)</f>
        <v>0</v>
      </c>
      <c r="G9" s="161">
        <f>+'DR'!F26*(1-Pressupostos!$B$21)</f>
        <v>0</v>
      </c>
      <c r="H9" s="161">
        <f>+'DR'!G26*(1-Pressupostos!$B$21)</f>
        <v>0</v>
      </c>
    </row>
    <row r="10" spans="1:8" ht="12.75">
      <c r="A10" s="102" t="s">
        <v>334</v>
      </c>
      <c r="B10" s="306"/>
      <c r="C10" s="161">
        <f>+'DR'!B24</f>
        <v>0</v>
      </c>
      <c r="D10" s="161">
        <f>+'DR'!C24</f>
        <v>0</v>
      </c>
      <c r="E10" s="161">
        <f>+'DR'!D24</f>
        <v>0</v>
      </c>
      <c r="F10" s="161">
        <f>+'DR'!E24</f>
        <v>0</v>
      </c>
      <c r="G10" s="161">
        <f>+'DR'!F24</f>
        <v>0</v>
      </c>
      <c r="H10" s="161">
        <f>+'DR'!G24</f>
        <v>0</v>
      </c>
    </row>
    <row r="11" spans="1:8" ht="12.75">
      <c r="A11" s="102" t="s">
        <v>335</v>
      </c>
      <c r="B11" s="306"/>
      <c r="C11" s="161">
        <f>+'DR'!B25</f>
        <v>0</v>
      </c>
      <c r="D11" s="161">
        <f>+'DR'!C25</f>
        <v>0</v>
      </c>
      <c r="E11" s="161">
        <f>+'DR'!D25</f>
        <v>0</v>
      </c>
      <c r="F11" s="161">
        <f>+'DR'!E25</f>
        <v>0</v>
      </c>
      <c r="G11" s="161">
        <f>+'DR'!F25</f>
        <v>0</v>
      </c>
      <c r="H11" s="161">
        <f>+'DR'!G25</f>
        <v>0</v>
      </c>
    </row>
    <row r="12" spans="1:8" ht="13.5" thickBot="1">
      <c r="A12" s="102"/>
      <c r="B12" s="174"/>
      <c r="C12" s="205">
        <f aca="true" t="shared" si="0" ref="C12:H12">SUM(C9:C11)</f>
        <v>0</v>
      </c>
      <c r="D12" s="205">
        <f t="shared" si="0"/>
        <v>0</v>
      </c>
      <c r="E12" s="205">
        <f t="shared" si="0"/>
        <v>0</v>
      </c>
      <c r="F12" s="205">
        <f t="shared" si="0"/>
        <v>0</v>
      </c>
      <c r="G12" s="205">
        <f t="shared" si="0"/>
        <v>0</v>
      </c>
      <c r="H12" s="205">
        <f t="shared" si="0"/>
        <v>0</v>
      </c>
    </row>
    <row r="13" spans="1:8" ht="13.5" thickTop="1">
      <c r="A13" s="112" t="s">
        <v>262</v>
      </c>
      <c r="B13" s="307"/>
      <c r="C13" s="308"/>
      <c r="D13" s="308"/>
      <c r="E13" s="308"/>
      <c r="F13" s="308"/>
      <c r="G13" s="308"/>
      <c r="H13" s="308"/>
    </row>
    <row r="14" spans="1:8" ht="12.75">
      <c r="A14" s="305" t="s">
        <v>168</v>
      </c>
      <c r="B14" s="309"/>
      <c r="C14" s="161">
        <f>-FundoManeio!C23</f>
        <v>0</v>
      </c>
      <c r="D14" s="161">
        <f>-FundoManeio!D23</f>
        <v>0</v>
      </c>
      <c r="E14" s="161">
        <f>-FundoManeio!E23</f>
        <v>0</v>
      </c>
      <c r="F14" s="161">
        <f>-FundoManeio!F23</f>
        <v>0</v>
      </c>
      <c r="G14" s="161">
        <f>-FundoManeio!G23</f>
        <v>0</v>
      </c>
      <c r="H14" s="161">
        <f>-FundoManeio!H23</f>
        <v>0</v>
      </c>
    </row>
    <row r="15" spans="1:8" ht="10.5">
      <c r="A15" s="310"/>
      <c r="B15" s="310"/>
      <c r="C15" s="310"/>
      <c r="D15" s="310"/>
      <c r="E15" s="310"/>
      <c r="F15" s="310"/>
      <c r="G15" s="310"/>
      <c r="H15" s="310"/>
    </row>
    <row r="16" spans="1:8" ht="13.5" thickBot="1">
      <c r="A16" s="209" t="s">
        <v>171</v>
      </c>
      <c r="B16" s="311"/>
      <c r="C16" s="205">
        <f aca="true" t="shared" si="1" ref="C16:H16">+SUM(C12:C14)</f>
        <v>0</v>
      </c>
      <c r="D16" s="205">
        <f t="shared" si="1"/>
        <v>0</v>
      </c>
      <c r="E16" s="205">
        <f t="shared" si="1"/>
        <v>0</v>
      </c>
      <c r="F16" s="205">
        <f t="shared" si="1"/>
        <v>0</v>
      </c>
      <c r="G16" s="205">
        <f t="shared" si="1"/>
        <v>0</v>
      </c>
      <c r="H16" s="205">
        <f t="shared" si="1"/>
        <v>0</v>
      </c>
    </row>
    <row r="17" spans="1:8" ht="13.5" thickTop="1">
      <c r="A17" s="312"/>
      <c r="B17" s="313"/>
      <c r="C17" s="314"/>
      <c r="D17" s="314"/>
      <c r="E17" s="314"/>
      <c r="F17" s="314"/>
      <c r="G17" s="314"/>
      <c r="H17" s="314"/>
    </row>
    <row r="18" spans="1:8" ht="12.75">
      <c r="A18" s="112" t="s">
        <v>263</v>
      </c>
      <c r="B18" s="307"/>
      <c r="C18" s="308"/>
      <c r="D18" s="308"/>
      <c r="E18" s="308"/>
      <c r="F18" s="308"/>
      <c r="G18" s="308"/>
      <c r="H18" s="308"/>
    </row>
    <row r="19" spans="1:8" ht="12.75">
      <c r="A19" s="102" t="s">
        <v>169</v>
      </c>
      <c r="B19" s="306"/>
      <c r="C19" s="161">
        <f>-Investimento!C29</f>
        <v>0</v>
      </c>
      <c r="D19" s="161">
        <f>-Investimento!D29</f>
        <v>0</v>
      </c>
      <c r="E19" s="161">
        <f>-Investimento!E29</f>
        <v>0</v>
      </c>
      <c r="F19" s="161">
        <f>-Investimento!F29</f>
        <v>0</v>
      </c>
      <c r="G19" s="161">
        <f>-Investimento!G29</f>
        <v>0</v>
      </c>
      <c r="H19" s="161">
        <f>-Investimento!H29</f>
        <v>0</v>
      </c>
    </row>
    <row r="20" spans="1:8" ht="12.75">
      <c r="A20" s="197"/>
      <c r="B20" s="313"/>
      <c r="C20" s="314"/>
      <c r="D20" s="314"/>
      <c r="E20" s="314"/>
      <c r="F20" s="314"/>
      <c r="G20" s="314"/>
      <c r="H20" s="314"/>
    </row>
    <row r="21" spans="1:8" ht="13.5" thickBot="1">
      <c r="A21" s="209" t="s">
        <v>217</v>
      </c>
      <c r="B21" s="311"/>
      <c r="C21" s="205">
        <f aca="true" t="shared" si="2" ref="C21:H21">+C12+C14+C19</f>
        <v>0</v>
      </c>
      <c r="D21" s="205">
        <f t="shared" si="2"/>
        <v>0</v>
      </c>
      <c r="E21" s="205">
        <f t="shared" si="2"/>
        <v>0</v>
      </c>
      <c r="F21" s="205">
        <f t="shared" si="2"/>
        <v>0</v>
      </c>
      <c r="G21" s="205">
        <f t="shared" si="2"/>
        <v>0</v>
      </c>
      <c r="H21" s="205">
        <f t="shared" si="2"/>
        <v>0</v>
      </c>
    </row>
    <row r="22" spans="1:8" ht="13.5" thickTop="1">
      <c r="A22" s="312"/>
      <c r="B22" s="313"/>
      <c r="C22" s="314"/>
      <c r="D22" s="314"/>
      <c r="E22" s="314"/>
      <c r="F22" s="314"/>
      <c r="G22" s="314"/>
      <c r="H22" s="314"/>
    </row>
    <row r="23" spans="1:8" ht="13.5" thickBot="1">
      <c r="A23" s="209" t="s">
        <v>193</v>
      </c>
      <c r="B23" s="311"/>
      <c r="C23" s="205">
        <f>+SUM(C21)</f>
        <v>0</v>
      </c>
      <c r="D23" s="205">
        <f>+SUM($C$21:D21)</f>
        <v>0</v>
      </c>
      <c r="E23" s="205">
        <f>+SUM($C$21:E21)</f>
        <v>0</v>
      </c>
      <c r="F23" s="205">
        <f>+SUM($C$21:F21)</f>
        <v>0</v>
      </c>
      <c r="G23" s="205">
        <f>+SUM($C$21:G21)</f>
        <v>0</v>
      </c>
      <c r="H23" s="205">
        <f>+SUM($C$21:H21)</f>
        <v>0</v>
      </c>
    </row>
    <row r="24" spans="1:8" ht="13.5" thickTop="1">
      <c r="A24" s="119"/>
      <c r="B24" s="315"/>
      <c r="C24" s="316"/>
      <c r="D24" s="316"/>
      <c r="E24" s="316"/>
      <c r="F24" s="316"/>
      <c r="G24" s="316"/>
      <c r="H24" s="316"/>
    </row>
    <row r="25" spans="1:9" ht="12.75">
      <c r="A25" s="317"/>
      <c r="B25" s="318"/>
      <c r="C25" s="319"/>
      <c r="D25" s="319"/>
      <c r="E25" s="319"/>
      <c r="F25" s="319"/>
      <c r="G25" s="319"/>
      <c r="H25" s="319"/>
      <c r="I25" s="320"/>
    </row>
    <row r="26" spans="1:8" ht="12.75">
      <c r="A26" s="321"/>
      <c r="B26" s="318"/>
      <c r="C26" s="316"/>
      <c r="D26" s="316"/>
      <c r="E26" s="316"/>
      <c r="F26" s="316"/>
      <c r="G26" s="316"/>
      <c r="H26" s="316"/>
    </row>
    <row r="27" spans="1:8" ht="12.75">
      <c r="A27" s="321"/>
      <c r="B27" s="318"/>
      <c r="C27" s="316"/>
      <c r="D27" s="316"/>
      <c r="E27" s="316"/>
      <c r="F27" s="316"/>
      <c r="G27" s="316"/>
      <c r="H27" s="316"/>
    </row>
    <row r="28" spans="1:8" ht="12.75">
      <c r="A28" s="321"/>
      <c r="B28" s="318"/>
      <c r="C28" s="316"/>
      <c r="D28" s="316"/>
      <c r="E28" s="316"/>
      <c r="F28" s="316"/>
      <c r="G28" s="316"/>
      <c r="H28" s="316"/>
    </row>
    <row r="29" spans="1:8" ht="12.75">
      <c r="A29" s="321"/>
      <c r="B29" s="318"/>
      <c r="C29" s="316"/>
      <c r="D29" s="316"/>
      <c r="E29" s="316"/>
      <c r="F29" s="316"/>
      <c r="G29" s="316"/>
      <c r="H29" s="316"/>
    </row>
    <row r="30" spans="1:8" ht="12.75">
      <c r="A30" s="321"/>
      <c r="B30" s="318"/>
      <c r="C30" s="316"/>
      <c r="D30" s="316"/>
      <c r="E30" s="316"/>
      <c r="F30" s="316"/>
      <c r="G30" s="316"/>
      <c r="H30" s="316"/>
    </row>
    <row r="31" spans="1:8" ht="12.75">
      <c r="A31" s="321"/>
      <c r="B31" s="318"/>
      <c r="C31" s="316"/>
      <c r="D31" s="316"/>
      <c r="E31" s="316"/>
      <c r="F31" s="316"/>
      <c r="G31" s="316"/>
      <c r="H31" s="316"/>
    </row>
    <row r="32" spans="1:8" ht="12.75">
      <c r="A32" s="321"/>
      <c r="B32" s="318"/>
      <c r="C32" s="316"/>
      <c r="D32" s="316"/>
      <c r="E32" s="316"/>
      <c r="F32" s="316"/>
      <c r="G32" s="316"/>
      <c r="H32" s="316"/>
    </row>
    <row r="33" spans="1:8" ht="12.75">
      <c r="A33" s="321"/>
      <c r="B33" s="318"/>
      <c r="C33" s="316"/>
      <c r="D33" s="316"/>
      <c r="E33" s="316"/>
      <c r="F33" s="316"/>
      <c r="G33" s="316"/>
      <c r="H33" s="316"/>
    </row>
    <row r="34" spans="1:8" ht="12.75">
      <c r="A34" s="321"/>
      <c r="B34" s="318"/>
      <c r="C34" s="316"/>
      <c r="D34" s="316"/>
      <c r="E34" s="316"/>
      <c r="F34" s="316"/>
      <c r="G34" s="316"/>
      <c r="H34" s="316"/>
    </row>
    <row r="35" spans="1:8" ht="12.75">
      <c r="A35" s="321"/>
      <c r="B35" s="318"/>
      <c r="C35" s="316"/>
      <c r="D35" s="316"/>
      <c r="E35" s="316"/>
      <c r="F35" s="316"/>
      <c r="G35" s="316"/>
      <c r="H35" s="316"/>
    </row>
    <row r="36" spans="1:8" ht="12.75">
      <c r="A36" s="317"/>
      <c r="B36" s="318"/>
      <c r="C36" s="319"/>
      <c r="D36" s="319"/>
      <c r="E36" s="319"/>
      <c r="F36" s="319"/>
      <c r="G36" s="319"/>
      <c r="H36" s="319"/>
    </row>
    <row r="37" spans="1:8" ht="12.75">
      <c r="A37" s="322"/>
      <c r="B37" s="318"/>
      <c r="C37" s="323"/>
      <c r="D37" s="119"/>
      <c r="E37" s="119"/>
      <c r="F37" s="119"/>
      <c r="G37" s="119"/>
      <c r="H37" s="119"/>
    </row>
    <row r="38" spans="1:8" ht="12.75">
      <c r="A38" s="111"/>
      <c r="B38" s="111"/>
      <c r="C38" s="119"/>
      <c r="D38" s="119"/>
      <c r="E38" s="119"/>
      <c r="F38" s="119"/>
      <c r="G38" s="119"/>
      <c r="H38" s="119"/>
    </row>
    <row r="39" spans="3:8" ht="10.5">
      <c r="C39" s="324"/>
      <c r="D39" s="324"/>
      <c r="E39" s="324"/>
      <c r="F39" s="324"/>
      <c r="G39" s="324"/>
      <c r="H39" s="324"/>
    </row>
  </sheetData>
  <sheetProtection password="86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 topLeftCell="A1">
      <selection activeCell="H30" sqref="H30"/>
    </sheetView>
  </sheetViews>
  <sheetFormatPr defaultColWidth="9.140625" defaultRowHeight="12.75"/>
  <cols>
    <col min="1" max="1" width="30.57421875" style="111" customWidth="1"/>
    <col min="2" max="2" width="3.140625" style="111" customWidth="1"/>
    <col min="3" max="3" width="13.57421875" style="111" customWidth="1"/>
    <col min="4" max="4" width="12.140625" style="111" customWidth="1"/>
    <col min="5" max="8" width="11.7109375" style="111" customWidth="1"/>
    <col min="9" max="16384" width="8.7109375" style="111" customWidth="1"/>
  </cols>
  <sheetData>
    <row r="1" spans="1:8" ht="12.75">
      <c r="A1" s="101"/>
      <c r="B1" s="101"/>
      <c r="C1" s="90"/>
      <c r="D1" s="90"/>
      <c r="E1" s="90"/>
      <c r="F1" s="90"/>
      <c r="G1" s="91" t="s">
        <v>120</v>
      </c>
      <c r="H1" s="138" t="str">
        <f>+Pressupostos!E1</f>
        <v>XPTO, Lda</v>
      </c>
    </row>
    <row r="2" spans="1:8" ht="12.75">
      <c r="A2" s="101"/>
      <c r="B2" s="101"/>
      <c r="C2" s="101"/>
      <c r="D2" s="101"/>
      <c r="E2" s="101"/>
      <c r="F2" s="101"/>
      <c r="G2" s="101"/>
      <c r="H2" s="95" t="str">
        <f>+Pressupostos!B9</f>
        <v>Euros</v>
      </c>
    </row>
    <row r="3" spans="1:8" ht="12.75">
      <c r="A3" s="101"/>
      <c r="B3" s="101"/>
      <c r="C3" s="101"/>
      <c r="D3" s="101"/>
      <c r="E3" s="101"/>
      <c r="F3" s="101"/>
      <c r="G3" s="101"/>
      <c r="H3" s="95"/>
    </row>
    <row r="4" spans="1:8" ht="15.75">
      <c r="A4" s="458" t="s">
        <v>266</v>
      </c>
      <c r="B4" s="458"/>
      <c r="C4" s="458"/>
      <c r="D4" s="458"/>
      <c r="E4" s="458"/>
      <c r="F4" s="458"/>
      <c r="G4" s="458"/>
      <c r="H4" s="458"/>
    </row>
    <row r="5" spans="1:8" ht="12.75">
      <c r="A5" s="101"/>
      <c r="B5" s="101"/>
      <c r="C5" s="101"/>
      <c r="D5" s="101"/>
      <c r="E5" s="101"/>
      <c r="F5" s="101"/>
      <c r="G5" s="101"/>
      <c r="H5" s="101"/>
    </row>
    <row r="6" spans="1:8" ht="12.75">
      <c r="A6" s="101"/>
      <c r="B6" s="101"/>
      <c r="C6" s="101"/>
      <c r="D6" s="101"/>
      <c r="E6" s="101"/>
      <c r="F6" s="101"/>
      <c r="G6" s="101"/>
      <c r="H6" s="101"/>
    </row>
    <row r="7" spans="1:8" ht="12.75">
      <c r="A7" s="99"/>
      <c r="B7" s="122"/>
      <c r="C7" s="97">
        <f>+VN!C8</f>
        <v>2007</v>
      </c>
      <c r="D7" s="97">
        <f>+VN!D8</f>
        <v>2008</v>
      </c>
      <c r="E7" s="97">
        <f>+VN!E8</f>
        <v>2009</v>
      </c>
      <c r="F7" s="97">
        <f>+VN!F8</f>
        <v>2010</v>
      </c>
      <c r="G7" s="97">
        <f>+VN!G8</f>
        <v>2011</v>
      </c>
      <c r="H7" s="97">
        <f>+VN!H8</f>
        <v>2012</v>
      </c>
    </row>
    <row r="8" spans="1:8" ht="12.75">
      <c r="A8" s="483" t="s">
        <v>185</v>
      </c>
      <c r="B8" s="484"/>
      <c r="C8" s="161"/>
      <c r="D8" s="161"/>
      <c r="E8" s="161"/>
      <c r="F8" s="161"/>
      <c r="G8" s="161"/>
      <c r="H8" s="161"/>
    </row>
    <row r="9" spans="1:8" ht="12.75">
      <c r="A9" s="172" t="s">
        <v>175</v>
      </c>
      <c r="B9" s="144"/>
      <c r="C9" s="325">
        <f>+'DR'!B26+'DR'!B24+'DR'!B25</f>
        <v>0</v>
      </c>
      <c r="D9" s="325">
        <f>+'DR'!C26+'DR'!C24+'DR'!C25</f>
        <v>0</v>
      </c>
      <c r="E9" s="325">
        <f>+'DR'!D26+'DR'!D24+'DR'!D25</f>
        <v>0</v>
      </c>
      <c r="F9" s="325">
        <f>+'DR'!E26+'DR'!E24+'DR'!E25</f>
        <v>0</v>
      </c>
      <c r="G9" s="325">
        <f>+'DR'!F26+'DR'!F24+'DR'!F25</f>
        <v>0</v>
      </c>
      <c r="H9" s="325">
        <f>+'DR'!G26+'DR'!G24+'DR'!G25</f>
        <v>0</v>
      </c>
    </row>
    <row r="10" spans="1:8" ht="12.75">
      <c r="A10" s="172" t="s">
        <v>269</v>
      </c>
      <c r="B10" s="144"/>
      <c r="C10" s="325">
        <f>+Financiamento!C15</f>
        <v>0</v>
      </c>
      <c r="D10" s="325">
        <f>+Financiamento!D15</f>
        <v>0</v>
      </c>
      <c r="E10" s="325">
        <f>+Financiamento!E15</f>
        <v>0</v>
      </c>
      <c r="F10" s="325">
        <f>+Financiamento!F15</f>
        <v>0</v>
      </c>
      <c r="G10" s="325">
        <f>+Financiamento!G15</f>
        <v>0</v>
      </c>
      <c r="H10" s="325">
        <f>+Financiamento!H15</f>
        <v>0</v>
      </c>
    </row>
    <row r="11" spans="1:8" ht="12.75">
      <c r="A11" s="172" t="s">
        <v>270</v>
      </c>
      <c r="B11" s="144"/>
      <c r="C11" s="325">
        <f>+Financiamento!C17</f>
        <v>0</v>
      </c>
      <c r="D11" s="325">
        <f>+Financiamento!D17</f>
        <v>0</v>
      </c>
      <c r="E11" s="325">
        <f>+Financiamento!E17</f>
        <v>0</v>
      </c>
      <c r="F11" s="325">
        <f>+Financiamento!F17</f>
        <v>0</v>
      </c>
      <c r="G11" s="325">
        <f>+Financiamento!G17</f>
        <v>0</v>
      </c>
      <c r="H11" s="325">
        <f>+Financiamento!H17</f>
        <v>0</v>
      </c>
    </row>
    <row r="12" spans="1:8" ht="12.75">
      <c r="A12" s="172" t="s">
        <v>176</v>
      </c>
      <c r="B12" s="144"/>
      <c r="C12" s="325"/>
      <c r="D12" s="325"/>
      <c r="E12" s="325"/>
      <c r="F12" s="325"/>
      <c r="G12" s="325"/>
      <c r="H12" s="325"/>
    </row>
    <row r="13" spans="1:8" ht="12.75">
      <c r="A13" s="172" t="s">
        <v>177</v>
      </c>
      <c r="B13" s="144"/>
      <c r="C13" s="325">
        <f>+IF(FundoManeio!C23&lt;0,-FundoManeio!C23,0)</f>
        <v>0</v>
      </c>
      <c r="D13" s="325">
        <f>+IF(FundoManeio!D23&lt;0,-FundoManeio!D23,0)</f>
        <v>0</v>
      </c>
      <c r="E13" s="325">
        <f>+IF(FundoManeio!E23&lt;0,-FundoManeio!E23,0)</f>
        <v>0</v>
      </c>
      <c r="F13" s="325">
        <f>+IF(FundoManeio!F23&lt;0,-FundoManeio!F23,0)</f>
        <v>0</v>
      </c>
      <c r="G13" s="325">
        <f>+IF(FundoManeio!G23&lt;0,-FundoManeio!G23,0)</f>
        <v>0</v>
      </c>
      <c r="H13" s="325">
        <f>+IF(FundoManeio!H23&lt;0,-FundoManeio!H23,0)</f>
        <v>0</v>
      </c>
    </row>
    <row r="14" spans="1:8" ht="12.75">
      <c r="A14" s="326" t="s">
        <v>336</v>
      </c>
      <c r="B14" s="327"/>
      <c r="C14" s="325">
        <f>+Financiamento!C16</f>
        <v>0</v>
      </c>
      <c r="D14" s="325">
        <f>+Financiamento!D16</f>
        <v>0</v>
      </c>
      <c r="E14" s="325">
        <f>+Financiamento!E16</f>
        <v>0</v>
      </c>
      <c r="F14" s="325">
        <f>+Financiamento!F16</f>
        <v>0</v>
      </c>
      <c r="G14" s="325">
        <f>+Financiamento!G16</f>
        <v>0</v>
      </c>
      <c r="H14" s="325">
        <f>+Financiamento!H16</f>
        <v>0</v>
      </c>
    </row>
    <row r="15" spans="1:8" ht="12.75">
      <c r="A15" s="172" t="s">
        <v>95</v>
      </c>
      <c r="B15" s="144"/>
      <c r="C15" s="325">
        <f>+'DR'!B28</f>
        <v>0</v>
      </c>
      <c r="D15" s="325">
        <f>+'DR'!C28</f>
        <v>9.094947017729283E-15</v>
      </c>
      <c r="E15" s="325">
        <f>+'DR'!D28</f>
        <v>0</v>
      </c>
      <c r="F15" s="325">
        <f>+'DR'!E28</f>
        <v>0</v>
      </c>
      <c r="G15" s="325">
        <f>+'DR'!F28</f>
        <v>0</v>
      </c>
      <c r="H15" s="325">
        <f>+'DR'!G28</f>
        <v>0</v>
      </c>
    </row>
    <row r="16" spans="1:8" ht="12.75">
      <c r="A16" s="487"/>
      <c r="B16" s="488"/>
      <c r="C16" s="328"/>
      <c r="D16" s="328"/>
      <c r="E16" s="328"/>
      <c r="F16" s="328"/>
      <c r="G16" s="328"/>
      <c r="H16" s="328"/>
    </row>
    <row r="17" spans="1:8" ht="12.75">
      <c r="A17" s="485" t="s">
        <v>178</v>
      </c>
      <c r="B17" s="486"/>
      <c r="C17" s="329">
        <f aca="true" t="shared" si="0" ref="C17:H17">+SUM(C9:C16)</f>
        <v>0</v>
      </c>
      <c r="D17" s="329">
        <f t="shared" si="0"/>
        <v>9.094947017729283E-15</v>
      </c>
      <c r="E17" s="329">
        <f t="shared" si="0"/>
        <v>0</v>
      </c>
      <c r="F17" s="329">
        <f t="shared" si="0"/>
        <v>0</v>
      </c>
      <c r="G17" s="329">
        <f t="shared" si="0"/>
        <v>0</v>
      </c>
      <c r="H17" s="329">
        <f t="shared" si="0"/>
        <v>0</v>
      </c>
    </row>
    <row r="18" spans="1:8" ht="14.25" customHeight="1">
      <c r="A18" s="483" t="s">
        <v>186</v>
      </c>
      <c r="B18" s="484"/>
      <c r="C18" s="330"/>
      <c r="D18" s="330"/>
      <c r="E18" s="330"/>
      <c r="F18" s="330"/>
      <c r="G18" s="330"/>
      <c r="H18" s="330"/>
    </row>
    <row r="19" spans="1:8" ht="12.75">
      <c r="A19" s="172" t="s">
        <v>179</v>
      </c>
      <c r="B19" s="122"/>
      <c r="C19" s="325">
        <f>+Investimento!C29</f>
        <v>0</v>
      </c>
      <c r="D19" s="325">
        <f>+Investimento!D29</f>
        <v>0</v>
      </c>
      <c r="E19" s="325">
        <f>+Investimento!E29</f>
        <v>0</v>
      </c>
      <c r="F19" s="325">
        <f>+Investimento!F29</f>
        <v>0</v>
      </c>
      <c r="G19" s="325">
        <f>+Investimento!G29</f>
        <v>0</v>
      </c>
      <c r="H19" s="325">
        <f>+Investimento!H29</f>
        <v>0</v>
      </c>
    </row>
    <row r="20" spans="1:8" ht="12.75">
      <c r="A20" s="172" t="s">
        <v>180</v>
      </c>
      <c r="B20" s="122"/>
      <c r="C20" s="325">
        <f>+IF(FundoManeio!C23&gt;0,FundoManeio!C23,0)</f>
        <v>0</v>
      </c>
      <c r="D20" s="325">
        <f>+IF(FundoManeio!D23&gt;0,FundoManeio!D23,0)</f>
        <v>0</v>
      </c>
      <c r="E20" s="325">
        <f>+IF(FundoManeio!E23&gt;0,FundoManeio!E23,0)</f>
        <v>0</v>
      </c>
      <c r="F20" s="325">
        <f>+IF(FundoManeio!F23&gt;0,FundoManeio!F23,0)</f>
        <v>0</v>
      </c>
      <c r="G20" s="325">
        <f>+IF(FundoManeio!G23&gt;0,FundoManeio!G23,0)</f>
        <v>0</v>
      </c>
      <c r="H20" s="325">
        <f>+IF(FundoManeio!H23&gt;0,FundoManeio!H23,0)</f>
        <v>0</v>
      </c>
    </row>
    <row r="21" spans="1:8" ht="12.75">
      <c r="A21" s="172" t="s">
        <v>267</v>
      </c>
      <c r="B21" s="122"/>
      <c r="C21" s="325"/>
      <c r="D21" s="325">
        <f>+'DR'!B33</f>
        <v>0</v>
      </c>
      <c r="E21" s="325">
        <f>+'DR'!C33</f>
        <v>2.2737367544323206E-15</v>
      </c>
      <c r="F21" s="325">
        <f>+'DR'!D33</f>
        <v>0</v>
      </c>
      <c r="G21" s="325">
        <f>+'DR'!E33</f>
        <v>0</v>
      </c>
      <c r="H21" s="325">
        <f>+'DR'!F33</f>
        <v>0</v>
      </c>
    </row>
    <row r="22" spans="1:8" ht="12.75">
      <c r="A22" s="172" t="s">
        <v>268</v>
      </c>
      <c r="B22" s="122"/>
      <c r="C22" s="325"/>
      <c r="D22" s="325"/>
      <c r="E22" s="325"/>
      <c r="F22" s="325"/>
      <c r="G22" s="325"/>
      <c r="H22" s="325"/>
    </row>
    <row r="23" spans="1:8" ht="12.75">
      <c r="A23" s="172" t="s">
        <v>181</v>
      </c>
      <c r="B23" s="122"/>
      <c r="C23" s="325">
        <f>+Financiamento!C80</f>
        <v>0</v>
      </c>
      <c r="D23" s="325">
        <f>+Financiamento!D80</f>
        <v>0</v>
      </c>
      <c r="E23" s="325">
        <f>+Financiamento!E80</f>
        <v>0</v>
      </c>
      <c r="F23" s="325">
        <f>+Financiamento!F80</f>
        <v>0</v>
      </c>
      <c r="G23" s="325">
        <f>+Financiamento!G80</f>
        <v>0</v>
      </c>
      <c r="H23" s="325">
        <f>+Financiamento!H80</f>
        <v>0</v>
      </c>
    </row>
    <row r="24" spans="1:8" ht="12.75">
      <c r="A24" s="172" t="s">
        <v>182</v>
      </c>
      <c r="B24" s="122"/>
      <c r="C24" s="325">
        <f>+'DR'!B27</f>
        <v>0</v>
      </c>
      <c r="D24" s="325">
        <f>+'DR'!C27</f>
        <v>0</v>
      </c>
      <c r="E24" s="325">
        <f>+'DR'!D27</f>
        <v>0</v>
      </c>
      <c r="F24" s="325">
        <f>+'DR'!E27</f>
        <v>2.2737367544323207E-14</v>
      </c>
      <c r="G24" s="325">
        <f>+'DR'!F27</f>
        <v>1.1368683772161604E-14</v>
      </c>
      <c r="H24" s="325">
        <f>+'DR'!G27</f>
        <v>1.1368683772161604E-14</v>
      </c>
    </row>
    <row r="25" spans="1:8" ht="12.75">
      <c r="A25" s="487"/>
      <c r="B25" s="488"/>
      <c r="C25" s="328"/>
      <c r="D25" s="328"/>
      <c r="E25" s="328"/>
      <c r="F25" s="328"/>
      <c r="G25" s="328"/>
      <c r="H25" s="328"/>
    </row>
    <row r="26" spans="1:8" ht="12.75">
      <c r="A26" s="485" t="s">
        <v>183</v>
      </c>
      <c r="B26" s="486"/>
      <c r="C26" s="329">
        <f aca="true" t="shared" si="1" ref="C26:H26">+SUM(C19:C25)</f>
        <v>0</v>
      </c>
      <c r="D26" s="329">
        <f t="shared" si="1"/>
        <v>0</v>
      </c>
      <c r="E26" s="329">
        <f t="shared" si="1"/>
        <v>2.2737367544323206E-15</v>
      </c>
      <c r="F26" s="329">
        <f t="shared" si="1"/>
        <v>2.2737367544323207E-14</v>
      </c>
      <c r="G26" s="329">
        <f t="shared" si="1"/>
        <v>1.1368683772161604E-14</v>
      </c>
      <c r="H26" s="329">
        <f t="shared" si="1"/>
        <v>1.1368683772161604E-14</v>
      </c>
    </row>
    <row r="27" spans="1:8" ht="12.75">
      <c r="A27" s="489" t="s">
        <v>184</v>
      </c>
      <c r="B27" s="490"/>
      <c r="C27" s="329">
        <f aca="true" t="shared" si="2" ref="C27:H27">+C17-C26</f>
        <v>0</v>
      </c>
      <c r="D27" s="329">
        <f t="shared" si="2"/>
        <v>9.094947017729283E-15</v>
      </c>
      <c r="E27" s="329">
        <f t="shared" si="2"/>
        <v>-2.2737367544323206E-15</v>
      </c>
      <c r="F27" s="329">
        <f t="shared" si="2"/>
        <v>-2.2737367544323207E-14</v>
      </c>
      <c r="G27" s="329">
        <f t="shared" si="2"/>
        <v>-1.1368683772161604E-14</v>
      </c>
      <c r="H27" s="329">
        <f t="shared" si="2"/>
        <v>-1.1368683772161604E-14</v>
      </c>
    </row>
    <row r="28" spans="1:8" ht="12.75">
      <c r="A28" s="489" t="s">
        <v>194</v>
      </c>
      <c r="B28" s="490"/>
      <c r="C28" s="329">
        <f>+C27</f>
        <v>0</v>
      </c>
      <c r="D28" s="329">
        <f>+C28+D27</f>
        <v>9.094947017729283E-15</v>
      </c>
      <c r="E28" s="329">
        <f>+D28+E27</f>
        <v>6.8212102632969615E-15</v>
      </c>
      <c r="F28" s="329">
        <f>+E28+F27</f>
        <v>-1.5916157281026246E-14</v>
      </c>
      <c r="G28" s="329">
        <f>+F28+G27</f>
        <v>-2.728484105318785E-14</v>
      </c>
      <c r="H28" s="329">
        <f>+G28+H27</f>
        <v>-3.865352482534945E-14</v>
      </c>
    </row>
    <row r="29" spans="1:8" ht="12.75">
      <c r="A29" s="489" t="s">
        <v>337</v>
      </c>
      <c r="B29" s="490"/>
      <c r="C29" s="73">
        <v>0</v>
      </c>
      <c r="D29" s="73">
        <v>4.547473508864641E-13</v>
      </c>
      <c r="E29" s="73">
        <v>0</v>
      </c>
      <c r="F29" s="73">
        <v>-4.547473508864641E-13</v>
      </c>
      <c r="G29" s="73">
        <v>-2.2737367544323206E-13</v>
      </c>
      <c r="H29" s="73">
        <v>-2.2737367544323206E-13</v>
      </c>
    </row>
    <row r="30" spans="1:8" ht="12.75">
      <c r="A30" s="489" t="s">
        <v>195</v>
      </c>
      <c r="B30" s="490"/>
      <c r="C30" s="73">
        <f aca="true" t="shared" si="3" ref="C30:H30">+C28-C29</f>
        <v>0</v>
      </c>
      <c r="D30" s="73">
        <f t="shared" si="3"/>
        <v>-4.4565240386873483E-13</v>
      </c>
      <c r="E30" s="73">
        <f t="shared" si="3"/>
        <v>6.8212102632969615E-15</v>
      </c>
      <c r="F30" s="73">
        <f t="shared" si="3"/>
        <v>4.3883119360543786E-13</v>
      </c>
      <c r="G30" s="73">
        <f t="shared" si="3"/>
        <v>2.0008883439004421E-13</v>
      </c>
      <c r="H30" s="73">
        <f t="shared" si="3"/>
        <v>1.887201506178826E-13</v>
      </c>
    </row>
    <row r="31" spans="1:8" ht="12.75">
      <c r="A31" s="101"/>
      <c r="B31" s="101"/>
      <c r="C31" s="101"/>
      <c r="D31" s="101"/>
      <c r="E31" s="101"/>
      <c r="F31" s="101"/>
      <c r="G31" s="101"/>
      <c r="H31" s="101"/>
    </row>
    <row r="32" spans="1:8" ht="12.75">
      <c r="A32" s="101"/>
      <c r="B32" s="101"/>
      <c r="C32" s="101"/>
      <c r="D32" s="101"/>
      <c r="E32" s="101"/>
      <c r="F32" s="101"/>
      <c r="G32" s="101"/>
      <c r="H32" s="101"/>
    </row>
    <row r="33" spans="1:8" ht="12.75">
      <c r="A33" s="101"/>
      <c r="B33" s="101"/>
      <c r="C33" s="101"/>
      <c r="D33" s="101"/>
      <c r="E33" s="101"/>
      <c r="F33" s="101"/>
      <c r="G33" s="101"/>
      <c r="H33" s="101"/>
    </row>
    <row r="34" spans="1:8" ht="12.75">
      <c r="A34" s="213"/>
      <c r="B34" s="101"/>
      <c r="C34" s="101"/>
      <c r="D34" s="101"/>
      <c r="E34" s="291"/>
      <c r="F34" s="101"/>
      <c r="G34" s="101"/>
      <c r="H34" s="101"/>
    </row>
    <row r="35" spans="1:8" ht="12.75">
      <c r="A35" s="101"/>
      <c r="B35" s="101"/>
      <c r="C35" s="101"/>
      <c r="D35" s="101"/>
      <c r="E35" s="101"/>
      <c r="F35" s="101"/>
      <c r="G35" s="101"/>
      <c r="H35" s="101"/>
    </row>
  </sheetData>
  <sheetProtection password="8618" sheet="1" objects="1" scenarios="1"/>
  <mergeCells count="11">
    <mergeCell ref="A25:B25"/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7"/>
  <sheetViews>
    <sheetView showGridLines="0" showZeros="0" workbookViewId="0" topLeftCell="A25">
      <selection activeCell="C51" sqref="C51:H51"/>
    </sheetView>
  </sheetViews>
  <sheetFormatPr defaultColWidth="9.140625" defaultRowHeight="12.75"/>
  <cols>
    <col min="1" max="1" width="26.421875" style="111" customWidth="1"/>
    <col min="2" max="2" width="7.57421875" style="111" customWidth="1"/>
    <col min="3" max="12" width="11.421875" style="111" customWidth="1"/>
    <col min="13" max="16384" width="8.7109375" style="111" customWidth="1"/>
  </cols>
  <sheetData>
    <row r="1" spans="1:8" ht="12.75">
      <c r="A1" s="101"/>
      <c r="B1" s="101"/>
      <c r="C1" s="331"/>
      <c r="D1" s="331"/>
      <c r="E1" s="331"/>
      <c r="F1" s="331"/>
      <c r="G1" s="332" t="s">
        <v>120</v>
      </c>
      <c r="H1" s="333" t="str">
        <f>+Pressupostos!E1</f>
        <v>XPTO, Lda</v>
      </c>
    </row>
    <row r="2" spans="1:8" s="336" customFormat="1" ht="12.75">
      <c r="A2" s="334"/>
      <c r="B2" s="334"/>
      <c r="C2" s="334"/>
      <c r="D2" s="334"/>
      <c r="E2" s="334"/>
      <c r="F2" s="334"/>
      <c r="G2" s="334"/>
      <c r="H2" s="335" t="str">
        <f>+Pressupostos!B9</f>
        <v>Euros</v>
      </c>
    </row>
    <row r="3" spans="1:8" s="336" customFormat="1" ht="12.75">
      <c r="A3" s="334"/>
      <c r="B3" s="334"/>
      <c r="C3" s="334"/>
      <c r="D3" s="334"/>
      <c r="E3" s="334"/>
      <c r="F3" s="334"/>
      <c r="G3" s="334"/>
      <c r="H3" s="335"/>
    </row>
    <row r="4" spans="1:8" ht="15.75">
      <c r="A4" s="458" t="s">
        <v>114</v>
      </c>
      <c r="B4" s="458"/>
      <c r="C4" s="458"/>
      <c r="D4" s="458"/>
      <c r="E4" s="458"/>
      <c r="F4" s="458"/>
      <c r="G4" s="458"/>
      <c r="H4" s="458"/>
    </row>
    <row r="5" spans="1:8" ht="12.75">
      <c r="A5" s="101"/>
      <c r="B5" s="101"/>
      <c r="C5" s="197"/>
      <c r="D5" s="101"/>
      <c r="E5" s="101"/>
      <c r="F5" s="101"/>
      <c r="G5" s="101"/>
      <c r="H5" s="101"/>
    </row>
    <row r="6" spans="1:8" ht="12.75">
      <c r="A6" s="101"/>
      <c r="B6" s="101"/>
      <c r="C6" s="197"/>
      <c r="D6" s="101"/>
      <c r="E6" s="101"/>
      <c r="F6" s="101"/>
      <c r="G6" s="101"/>
      <c r="H6" s="101"/>
    </row>
    <row r="7" spans="1:8" ht="12.75">
      <c r="A7" s="99"/>
      <c r="B7" s="122"/>
      <c r="C7" s="97">
        <f>+VN!C8</f>
        <v>2007</v>
      </c>
      <c r="D7" s="97">
        <f>+VN!D8</f>
        <v>2008</v>
      </c>
      <c r="E7" s="97">
        <f>+VN!E8</f>
        <v>2009</v>
      </c>
      <c r="F7" s="97">
        <f>+VN!F8</f>
        <v>2010</v>
      </c>
      <c r="G7" s="97">
        <f>+VN!G8</f>
        <v>2011</v>
      </c>
      <c r="H7" s="97">
        <f>+VN!H8</f>
        <v>2012</v>
      </c>
    </row>
    <row r="8" spans="1:8" ht="12.75">
      <c r="A8" s="493" t="s">
        <v>102</v>
      </c>
      <c r="B8" s="494"/>
      <c r="C8" s="337"/>
      <c r="D8" s="337"/>
      <c r="E8" s="337"/>
      <c r="F8" s="337"/>
      <c r="G8" s="337"/>
      <c r="H8" s="337"/>
    </row>
    <row r="9" spans="1:8" ht="12.75">
      <c r="A9" s="198" t="s">
        <v>121</v>
      </c>
      <c r="B9" s="178"/>
      <c r="C9" s="337"/>
      <c r="D9" s="337"/>
      <c r="E9" s="337"/>
      <c r="F9" s="337"/>
      <c r="G9" s="337"/>
      <c r="H9" s="337"/>
    </row>
    <row r="10" spans="1:8" ht="12.75">
      <c r="A10" s="102" t="s">
        <v>44</v>
      </c>
      <c r="B10" s="178"/>
      <c r="C10" s="161">
        <f>+Investimento!C40</f>
        <v>0</v>
      </c>
      <c r="D10" s="161">
        <f>+Investimento!D40</f>
        <v>0</v>
      </c>
      <c r="E10" s="161">
        <f>+Investimento!E40</f>
        <v>0</v>
      </c>
      <c r="F10" s="161">
        <f>+Investimento!F40</f>
        <v>0</v>
      </c>
      <c r="G10" s="161">
        <f>+Investimento!G40</f>
        <v>0</v>
      </c>
      <c r="H10" s="161">
        <f>+Investimento!H40</f>
        <v>0</v>
      </c>
    </row>
    <row r="11" spans="1:10" ht="12.75">
      <c r="A11" s="102" t="s">
        <v>45</v>
      </c>
      <c r="B11" s="178"/>
      <c r="C11" s="161">
        <f>+Investimento!C50</f>
        <v>0</v>
      </c>
      <c r="D11" s="161">
        <f>+Investimento!D50</f>
        <v>0</v>
      </c>
      <c r="E11" s="161">
        <f>+Investimento!E50</f>
        <v>0</v>
      </c>
      <c r="F11" s="161">
        <f>+Investimento!F50</f>
        <v>0</v>
      </c>
      <c r="G11" s="161">
        <f>+Investimento!G50</f>
        <v>0</v>
      </c>
      <c r="H11" s="161">
        <f>+Investimento!H50</f>
        <v>0</v>
      </c>
      <c r="I11" s="215"/>
      <c r="J11" s="215"/>
    </row>
    <row r="12" spans="1:10" ht="12.75">
      <c r="A12" s="102" t="s">
        <v>89</v>
      </c>
      <c r="B12" s="178"/>
      <c r="C12" s="161">
        <f>+'DR'!B24</f>
        <v>0</v>
      </c>
      <c r="D12" s="161">
        <f>+C12+'DR'!C24</f>
        <v>0</v>
      </c>
      <c r="E12" s="161">
        <f>+D12+'DR'!D24</f>
        <v>0</v>
      </c>
      <c r="F12" s="161">
        <f>+E12+'DR'!E24</f>
        <v>0</v>
      </c>
      <c r="G12" s="161">
        <f>+F12+'DR'!F24</f>
        <v>0</v>
      </c>
      <c r="H12" s="161">
        <f>+G12+'DR'!G24</f>
        <v>0</v>
      </c>
      <c r="I12" s="215"/>
      <c r="J12" s="215"/>
    </row>
    <row r="13" spans="1:10" ht="12.75">
      <c r="A13" s="198" t="s">
        <v>103</v>
      </c>
      <c r="B13" s="178"/>
      <c r="C13" s="161"/>
      <c r="D13" s="161"/>
      <c r="E13" s="161"/>
      <c r="F13" s="161"/>
      <c r="G13" s="161"/>
      <c r="H13" s="161"/>
      <c r="I13" s="215"/>
      <c r="J13" s="215"/>
    </row>
    <row r="14" spans="1:10" ht="12.75">
      <c r="A14" s="102" t="s">
        <v>287</v>
      </c>
      <c r="B14" s="178"/>
      <c r="C14" s="161"/>
      <c r="D14" s="161"/>
      <c r="E14" s="161"/>
      <c r="F14" s="161"/>
      <c r="G14" s="161"/>
      <c r="H14" s="161"/>
      <c r="I14" s="215"/>
      <c r="J14" s="215"/>
    </row>
    <row r="15" spans="1:10" ht="12.75">
      <c r="A15" s="102" t="s">
        <v>237</v>
      </c>
      <c r="B15" s="178"/>
      <c r="C15" s="161"/>
      <c r="D15" s="161"/>
      <c r="E15" s="161"/>
      <c r="F15" s="161"/>
      <c r="G15" s="161"/>
      <c r="H15" s="161"/>
      <c r="I15" s="215"/>
      <c r="J15" s="215"/>
    </row>
    <row r="16" spans="1:10" ht="12.75">
      <c r="A16" s="102" t="s">
        <v>238</v>
      </c>
      <c r="B16" s="178"/>
      <c r="C16" s="161">
        <f>+FundoManeio!C11</f>
        <v>0</v>
      </c>
      <c r="D16" s="161">
        <f>+FundoManeio!D11</f>
        <v>0</v>
      </c>
      <c r="E16" s="161">
        <f>+FundoManeio!E11</f>
        <v>0</v>
      </c>
      <c r="F16" s="161">
        <f>+FundoManeio!F11</f>
        <v>0</v>
      </c>
      <c r="G16" s="161">
        <f>+FundoManeio!G11</f>
        <v>0</v>
      </c>
      <c r="H16" s="161">
        <f>+FundoManeio!H11</f>
        <v>0</v>
      </c>
      <c r="I16" s="215"/>
      <c r="J16" s="215"/>
    </row>
    <row r="17" spans="1:10" ht="12.75">
      <c r="A17" s="198" t="s">
        <v>122</v>
      </c>
      <c r="B17" s="178"/>
      <c r="C17" s="161"/>
      <c r="D17" s="161"/>
      <c r="E17" s="161"/>
      <c r="F17" s="161"/>
      <c r="G17" s="161"/>
      <c r="H17" s="161"/>
      <c r="I17" s="215"/>
      <c r="J17" s="215"/>
    </row>
    <row r="18" spans="1:10" ht="12.75">
      <c r="A18" s="102" t="s">
        <v>338</v>
      </c>
      <c r="B18" s="178"/>
      <c r="C18" s="161">
        <f>+FundoManeio!C10</f>
        <v>0</v>
      </c>
      <c r="D18" s="161">
        <f>+FundoManeio!D10</f>
        <v>0</v>
      </c>
      <c r="E18" s="161">
        <f>+FundoManeio!E10</f>
        <v>0</v>
      </c>
      <c r="F18" s="161">
        <f>+FundoManeio!F10</f>
        <v>0</v>
      </c>
      <c r="G18" s="161">
        <f>+FundoManeio!G10</f>
        <v>0</v>
      </c>
      <c r="H18" s="161">
        <f>+FundoManeio!H10</f>
        <v>0</v>
      </c>
      <c r="I18" s="215"/>
      <c r="J18" s="215"/>
    </row>
    <row r="19" spans="1:10" ht="12.75">
      <c r="A19" s="102" t="s">
        <v>406</v>
      </c>
      <c r="B19" s="178"/>
      <c r="C19" s="161">
        <f>+VN!C87</f>
        <v>0</v>
      </c>
      <c r="D19" s="161">
        <f>+C19+VN!D87</f>
        <v>0</v>
      </c>
      <c r="E19" s="161">
        <f>+D19+VN!E87</f>
        <v>0</v>
      </c>
      <c r="F19" s="161">
        <f>+E19+VN!F87</f>
        <v>0</v>
      </c>
      <c r="G19" s="161">
        <f>+F19+VN!G87</f>
        <v>0</v>
      </c>
      <c r="H19" s="161">
        <f>+G19+VN!H87</f>
        <v>0</v>
      </c>
      <c r="I19" s="215"/>
      <c r="J19" s="215"/>
    </row>
    <row r="20" spans="1:10" ht="12.75">
      <c r="A20" s="102" t="s">
        <v>339</v>
      </c>
      <c r="B20" s="178"/>
      <c r="C20" s="161"/>
      <c r="D20" s="161"/>
      <c r="E20" s="161"/>
      <c r="F20" s="161"/>
      <c r="G20" s="161"/>
      <c r="H20" s="161"/>
      <c r="I20" s="215"/>
      <c r="J20" s="215"/>
    </row>
    <row r="21" spans="1:10" ht="12.75">
      <c r="A21" s="102" t="s">
        <v>272</v>
      </c>
      <c r="B21" s="178"/>
      <c r="C21" s="161">
        <f>+FundoManeio!C12</f>
        <v>0</v>
      </c>
      <c r="D21" s="161">
        <f>+FundoManeio!D12</f>
        <v>0</v>
      </c>
      <c r="E21" s="161">
        <f>+FundoManeio!E12</f>
        <v>0</v>
      </c>
      <c r="F21" s="161">
        <f>+FundoManeio!F12</f>
        <v>0</v>
      </c>
      <c r="G21" s="161">
        <f>+FundoManeio!G12</f>
        <v>0</v>
      </c>
      <c r="H21" s="161">
        <f>+FundoManeio!H12</f>
        <v>0</v>
      </c>
      <c r="I21" s="215"/>
      <c r="J21" s="215"/>
    </row>
    <row r="22" spans="1:10" ht="12.75">
      <c r="A22" s="198" t="s">
        <v>123</v>
      </c>
      <c r="B22" s="178"/>
      <c r="C22" s="161">
        <f>+IF(PlanoFinanceiro!C29&gt;0,PlanoFinanceiro!C29,0)+FundoManeio!C9</f>
        <v>0</v>
      </c>
      <c r="D22" s="161">
        <f>+IF(PlanoFinanceiro!D29&gt;0,PlanoFinanceiro!D29,0)+FundoManeio!D9</f>
        <v>4.547473508864641E-13</v>
      </c>
      <c r="E22" s="161">
        <f>+IF(PlanoFinanceiro!E29&gt;0,PlanoFinanceiro!E29,0)+FundoManeio!E9</f>
        <v>0</v>
      </c>
      <c r="F22" s="161">
        <f>+IF(PlanoFinanceiro!F29&gt;0,PlanoFinanceiro!F29,0)+FundoManeio!F9</f>
        <v>0</v>
      </c>
      <c r="G22" s="161">
        <f>+IF(PlanoFinanceiro!G29&gt;0,PlanoFinanceiro!G29,0)+FundoManeio!G9</f>
        <v>0</v>
      </c>
      <c r="H22" s="161">
        <f>+IF(PlanoFinanceiro!H29&gt;0,PlanoFinanceiro!H29,0)+FundoManeio!H9</f>
        <v>0</v>
      </c>
      <c r="I22" s="215"/>
      <c r="J22" s="215"/>
    </row>
    <row r="23" spans="1:10" ht="12.75">
      <c r="A23" s="198" t="s">
        <v>124</v>
      </c>
      <c r="B23" s="178"/>
      <c r="C23" s="161"/>
      <c r="D23" s="161"/>
      <c r="E23" s="161"/>
      <c r="F23" s="161"/>
      <c r="G23" s="161"/>
      <c r="H23" s="161"/>
      <c r="I23" s="215"/>
      <c r="J23" s="215"/>
    </row>
    <row r="24" spans="1:10" ht="13.5" thickBot="1">
      <c r="A24" s="460" t="s">
        <v>106</v>
      </c>
      <c r="B24" s="461"/>
      <c r="C24" s="338">
        <f aca="true" t="shared" si="0" ref="C24:H24">C10+C11-C12+C14+C15+C16+C18+C20++C23+C22+C21-C19</f>
        <v>0</v>
      </c>
      <c r="D24" s="338">
        <f t="shared" si="0"/>
        <v>4.547473508864641E-13</v>
      </c>
      <c r="E24" s="338">
        <f t="shared" si="0"/>
        <v>0</v>
      </c>
      <c r="F24" s="338">
        <f t="shared" si="0"/>
        <v>0</v>
      </c>
      <c r="G24" s="338">
        <f t="shared" si="0"/>
        <v>0</v>
      </c>
      <c r="H24" s="338">
        <f t="shared" si="0"/>
        <v>0</v>
      </c>
      <c r="I24" s="215"/>
      <c r="J24" s="215"/>
    </row>
    <row r="25" spans="1:10" ht="13.5" thickTop="1">
      <c r="A25" s="277"/>
      <c r="B25" s="101"/>
      <c r="C25" s="170"/>
      <c r="D25" s="339"/>
      <c r="E25" s="339"/>
      <c r="F25" s="339"/>
      <c r="G25" s="339"/>
      <c r="H25" s="101"/>
      <c r="I25" s="215"/>
      <c r="J25" s="215"/>
    </row>
    <row r="26" spans="1:10" ht="12.75">
      <c r="A26" s="473" t="s">
        <v>340</v>
      </c>
      <c r="B26" s="495"/>
      <c r="C26" s="337"/>
      <c r="D26" s="337"/>
      <c r="E26" s="337"/>
      <c r="F26" s="337"/>
      <c r="G26" s="337"/>
      <c r="H26" s="337"/>
      <c r="I26" s="215"/>
      <c r="J26" s="215"/>
    </row>
    <row r="27" spans="1:10" ht="12.75">
      <c r="A27" s="185" t="s">
        <v>107</v>
      </c>
      <c r="B27" s="178"/>
      <c r="C27" s="161">
        <f>+PlanoFinanceiro!C10</f>
        <v>0</v>
      </c>
      <c r="D27" s="161">
        <f>+C27+PlanoFinanceiro!D10</f>
        <v>0</v>
      </c>
      <c r="E27" s="161">
        <f>+D27+PlanoFinanceiro!E10</f>
        <v>0</v>
      </c>
      <c r="F27" s="161">
        <f>+E27+PlanoFinanceiro!F10</f>
        <v>0</v>
      </c>
      <c r="G27" s="161">
        <f>+F27+PlanoFinanceiro!G10</f>
        <v>0</v>
      </c>
      <c r="H27" s="161">
        <f>+G27+PlanoFinanceiro!H10</f>
        <v>0</v>
      </c>
      <c r="I27" s="215"/>
      <c r="J27" s="215"/>
    </row>
    <row r="28" spans="1:10" ht="12.75">
      <c r="A28" s="185" t="s">
        <v>125</v>
      </c>
      <c r="B28" s="178"/>
      <c r="C28" s="161"/>
      <c r="D28" s="161"/>
      <c r="E28" s="161"/>
      <c r="F28" s="161"/>
      <c r="G28" s="161"/>
      <c r="H28" s="161"/>
      <c r="I28" s="215"/>
      <c r="J28" s="215"/>
    </row>
    <row r="29" spans="1:10" ht="12.75">
      <c r="A29" s="185" t="s">
        <v>126</v>
      </c>
      <c r="B29" s="178"/>
      <c r="C29" s="161"/>
      <c r="D29" s="161"/>
      <c r="E29" s="161"/>
      <c r="F29" s="161"/>
      <c r="G29" s="161"/>
      <c r="H29" s="161"/>
      <c r="I29" s="215"/>
      <c r="J29" s="215"/>
    </row>
    <row r="30" spans="1:10" ht="12.75">
      <c r="A30" s="185" t="s">
        <v>189</v>
      </c>
      <c r="B30" s="178"/>
      <c r="C30" s="161"/>
      <c r="D30" s="161">
        <f>+C30+C31</f>
        <v>0</v>
      </c>
      <c r="E30" s="161">
        <f>+D30+D31</f>
        <v>6.8212102632969615E-15</v>
      </c>
      <c r="F30" s="161">
        <f>+E30+E31</f>
        <v>6.8212102632969615E-15</v>
      </c>
      <c r="G30" s="161">
        <f>+F30+F31</f>
        <v>-1.5916157281026246E-14</v>
      </c>
      <c r="H30" s="161">
        <f>+G30+G31</f>
        <v>-2.728484105318785E-14</v>
      </c>
      <c r="I30" s="215"/>
      <c r="J30" s="215"/>
    </row>
    <row r="31" spans="1:10" ht="12.75">
      <c r="A31" s="185" t="s">
        <v>341</v>
      </c>
      <c r="B31" s="178"/>
      <c r="C31" s="161">
        <f>+'DR'!B34</f>
        <v>0</v>
      </c>
      <c r="D31" s="161">
        <f>+'DR'!C34</f>
        <v>6.8212102632969615E-15</v>
      </c>
      <c r="E31" s="161">
        <f>+'DR'!D34</f>
        <v>0</v>
      </c>
      <c r="F31" s="161">
        <f>+'DR'!E34</f>
        <v>-2.2737367544323207E-14</v>
      </c>
      <c r="G31" s="161">
        <f>+'DR'!F34</f>
        <v>-1.1368683772161604E-14</v>
      </c>
      <c r="H31" s="161">
        <f>+'DR'!G34</f>
        <v>-1.1368683772161604E-14</v>
      </c>
      <c r="I31" s="215"/>
      <c r="J31" s="215"/>
    </row>
    <row r="32" spans="1:10" ht="13.5" thickBot="1">
      <c r="A32" s="460" t="s">
        <v>342</v>
      </c>
      <c r="B32" s="462"/>
      <c r="C32" s="338">
        <f aca="true" t="shared" si="1" ref="C32:H32">SUM(C27:C31)</f>
        <v>0</v>
      </c>
      <c r="D32" s="338">
        <f t="shared" si="1"/>
        <v>6.8212102632969615E-15</v>
      </c>
      <c r="E32" s="338">
        <f t="shared" si="1"/>
        <v>6.8212102632969615E-15</v>
      </c>
      <c r="F32" s="338">
        <f t="shared" si="1"/>
        <v>-1.5916157281026246E-14</v>
      </c>
      <c r="G32" s="338">
        <f t="shared" si="1"/>
        <v>-2.728484105318785E-14</v>
      </c>
      <c r="H32" s="338">
        <f t="shared" si="1"/>
        <v>-3.865352482534945E-14</v>
      </c>
      <c r="I32" s="215"/>
      <c r="J32" s="215"/>
    </row>
    <row r="33" spans="1:10" ht="13.5" thickTop="1">
      <c r="A33" s="101"/>
      <c r="B33" s="101"/>
      <c r="C33" s="314"/>
      <c r="D33" s="314"/>
      <c r="E33" s="314"/>
      <c r="F33" s="314"/>
      <c r="G33" s="314"/>
      <c r="H33" s="314"/>
      <c r="I33" s="215"/>
      <c r="J33" s="215"/>
    </row>
    <row r="34" spans="1:10" ht="12.75">
      <c r="A34" s="491" t="s">
        <v>108</v>
      </c>
      <c r="B34" s="492"/>
      <c r="C34" s="97"/>
      <c r="D34" s="97"/>
      <c r="E34" s="97"/>
      <c r="F34" s="97"/>
      <c r="G34" s="97"/>
      <c r="H34" s="97"/>
      <c r="I34" s="215"/>
      <c r="J34" s="215"/>
    </row>
    <row r="35" spans="1:10" ht="12.75">
      <c r="A35" s="198" t="s">
        <v>127</v>
      </c>
      <c r="B35" s="178"/>
      <c r="C35" s="340"/>
      <c r="D35" s="147"/>
      <c r="E35" s="147"/>
      <c r="F35" s="147"/>
      <c r="G35" s="147"/>
      <c r="H35" s="147"/>
      <c r="I35" s="215"/>
      <c r="J35" s="215"/>
    </row>
    <row r="36" spans="1:10" ht="12.75">
      <c r="A36" s="198" t="s">
        <v>343</v>
      </c>
      <c r="B36" s="178"/>
      <c r="C36" s="337"/>
      <c r="D36" s="337"/>
      <c r="E36" s="337"/>
      <c r="F36" s="337"/>
      <c r="G36" s="337"/>
      <c r="H36" s="337"/>
      <c r="I36" s="215"/>
      <c r="J36" s="215"/>
    </row>
    <row r="37" spans="1:10" ht="12.75">
      <c r="A37" s="102" t="s">
        <v>344</v>
      </c>
      <c r="B37" s="178"/>
      <c r="C37" s="161">
        <f>+Financiamento!C77</f>
        <v>0</v>
      </c>
      <c r="D37" s="161">
        <f>+Financiamento!D77</f>
        <v>0</v>
      </c>
      <c r="E37" s="161">
        <f>+Financiamento!E77</f>
        <v>0</v>
      </c>
      <c r="F37" s="161">
        <f>+Financiamento!F77</f>
        <v>0</v>
      </c>
      <c r="G37" s="161">
        <f>+Financiamento!G77</f>
        <v>0</v>
      </c>
      <c r="H37" s="161">
        <f>+Financiamento!H77</f>
        <v>0</v>
      </c>
      <c r="I37" s="215"/>
      <c r="J37" s="215"/>
    </row>
    <row r="38" spans="1:10" ht="12.75">
      <c r="A38" s="102" t="s">
        <v>345</v>
      </c>
      <c r="B38" s="178"/>
      <c r="C38" s="203"/>
      <c r="D38" s="204"/>
      <c r="E38" s="204"/>
      <c r="F38" s="204"/>
      <c r="G38" s="204"/>
      <c r="H38" s="204"/>
      <c r="I38" s="215"/>
      <c r="J38" s="215"/>
    </row>
    <row r="39" spans="1:10" ht="12.75">
      <c r="A39" s="102" t="s">
        <v>128</v>
      </c>
      <c r="B39" s="178"/>
      <c r="C39" s="203">
        <f>+PlanoFinanceiro!C14</f>
        <v>0</v>
      </c>
      <c r="D39" s="203">
        <f>+C39+PlanoFinanceiro!D14</f>
        <v>0</v>
      </c>
      <c r="E39" s="203">
        <f>+D39+PlanoFinanceiro!E14</f>
        <v>0</v>
      </c>
      <c r="F39" s="203">
        <f>+E39+PlanoFinanceiro!F14</f>
        <v>0</v>
      </c>
      <c r="G39" s="203">
        <f>+F39+PlanoFinanceiro!G14</f>
        <v>0</v>
      </c>
      <c r="H39" s="203">
        <f>+G39+PlanoFinanceiro!H14</f>
        <v>0</v>
      </c>
      <c r="I39" s="215"/>
      <c r="J39" s="215"/>
    </row>
    <row r="40" spans="1:10" ht="12.75">
      <c r="A40" s="102" t="s">
        <v>129</v>
      </c>
      <c r="B40" s="178"/>
      <c r="C40" s="203"/>
      <c r="D40" s="204"/>
      <c r="E40" s="204"/>
      <c r="F40" s="204"/>
      <c r="G40" s="204"/>
      <c r="H40" s="204"/>
      <c r="I40" s="215"/>
      <c r="J40" s="215"/>
    </row>
    <row r="41" spans="1:10" ht="12.75">
      <c r="A41" s="198" t="s">
        <v>346</v>
      </c>
      <c r="B41" s="178"/>
      <c r="C41" s="341"/>
      <c r="D41" s="341"/>
      <c r="E41" s="341"/>
      <c r="F41" s="341"/>
      <c r="G41" s="341"/>
      <c r="H41" s="341"/>
      <c r="I41" s="215"/>
      <c r="J41" s="215"/>
    </row>
    <row r="42" spans="1:10" ht="12.75">
      <c r="A42" s="102" t="s">
        <v>344</v>
      </c>
      <c r="B42" s="178"/>
      <c r="C42" s="341">
        <f>+IF(PlanoFinanceiro!C29&lt;0,-PlanoFinanceiro!C29,0)</f>
        <v>0</v>
      </c>
      <c r="D42" s="341">
        <f>+IF(PlanoFinanceiro!D29&lt;0,-PlanoFinanceiro!D29,0)</f>
        <v>0</v>
      </c>
      <c r="E42" s="341">
        <f>+IF(PlanoFinanceiro!E29&lt;0,-PlanoFinanceiro!E29,0)</f>
        <v>0</v>
      </c>
      <c r="F42" s="341">
        <f>+IF(PlanoFinanceiro!F29&lt;0,-PlanoFinanceiro!F29,0)</f>
        <v>4.547473508864641E-13</v>
      </c>
      <c r="G42" s="341">
        <f>+IF(PlanoFinanceiro!G29&lt;0,-PlanoFinanceiro!G29,0)</f>
        <v>2.2737367544323206E-13</v>
      </c>
      <c r="H42" s="341">
        <f>+IF(PlanoFinanceiro!H29&lt;0,-PlanoFinanceiro!H29,0)</f>
        <v>2.2737367544323206E-13</v>
      </c>
      <c r="I42" s="215"/>
      <c r="J42" s="215"/>
    </row>
    <row r="43" spans="1:10" ht="12.75">
      <c r="A43" s="102" t="s">
        <v>347</v>
      </c>
      <c r="B43" s="178"/>
      <c r="C43" s="341">
        <f>+FundoManeio!C16</f>
        <v>0</v>
      </c>
      <c r="D43" s="341">
        <f>+FundoManeio!D16</f>
        <v>0</v>
      </c>
      <c r="E43" s="341">
        <f>+FundoManeio!E16</f>
        <v>0</v>
      </c>
      <c r="F43" s="341">
        <f>+FundoManeio!F16</f>
        <v>0</v>
      </c>
      <c r="G43" s="341">
        <f>+FundoManeio!G16</f>
        <v>0</v>
      </c>
      <c r="H43" s="341">
        <f>+FundoManeio!H16</f>
        <v>0</v>
      </c>
      <c r="I43" s="215"/>
      <c r="J43" s="215"/>
    </row>
    <row r="44" spans="1:10" ht="12.75">
      <c r="A44" s="102" t="s">
        <v>339</v>
      </c>
      <c r="B44" s="178"/>
      <c r="C44" s="341">
        <f>+FundoManeio!C17+'DR'!B33</f>
        <v>0</v>
      </c>
      <c r="D44" s="341">
        <f>+FundoManeio!D17+'DR'!C33</f>
        <v>2.2737367544323206E-15</v>
      </c>
      <c r="E44" s="341">
        <f>+FundoManeio!E17+'DR'!D33</f>
        <v>0</v>
      </c>
      <c r="F44" s="341">
        <f>+FundoManeio!F17+'DR'!E33</f>
        <v>0</v>
      </c>
      <c r="G44" s="341">
        <f>+FundoManeio!G17+'DR'!F33</f>
        <v>0</v>
      </c>
      <c r="H44" s="341">
        <f>+FundoManeio!H17+'DR'!G33</f>
        <v>0</v>
      </c>
      <c r="I44" s="215"/>
      <c r="J44" s="215"/>
    </row>
    <row r="45" spans="1:10" ht="12.75">
      <c r="A45" s="102" t="s">
        <v>129</v>
      </c>
      <c r="B45" s="178"/>
      <c r="C45" s="203">
        <f>+FundoManeio!C18</f>
        <v>0</v>
      </c>
      <c r="D45" s="203">
        <f>+FundoManeio!D18</f>
        <v>0</v>
      </c>
      <c r="E45" s="203">
        <f>+FundoManeio!E18</f>
        <v>0</v>
      </c>
      <c r="F45" s="203">
        <f>+FundoManeio!F18</f>
        <v>0</v>
      </c>
      <c r="G45" s="203">
        <f>+FundoManeio!G18</f>
        <v>0</v>
      </c>
      <c r="H45" s="203">
        <f>+FundoManeio!H18</f>
        <v>0</v>
      </c>
      <c r="I45" s="215"/>
      <c r="J45" s="215"/>
    </row>
    <row r="46" spans="1:10" ht="12.75">
      <c r="A46" s="198" t="s">
        <v>124</v>
      </c>
      <c r="B46" s="178"/>
      <c r="C46" s="203"/>
      <c r="D46" s="204"/>
      <c r="E46" s="204"/>
      <c r="F46" s="204"/>
      <c r="G46" s="204"/>
      <c r="H46" s="204"/>
      <c r="I46" s="215"/>
      <c r="J46" s="215"/>
    </row>
    <row r="47" spans="1:10" ht="13.5" thickBot="1">
      <c r="A47" s="460" t="s">
        <v>109</v>
      </c>
      <c r="B47" s="462"/>
      <c r="C47" s="59">
        <f aca="true" t="shared" si="2" ref="C47:H47">SUM(C35:C46)</f>
        <v>0</v>
      </c>
      <c r="D47" s="59">
        <f t="shared" si="2"/>
        <v>2.2737367544323206E-15</v>
      </c>
      <c r="E47" s="59">
        <f t="shared" si="2"/>
        <v>0</v>
      </c>
      <c r="F47" s="59">
        <f t="shared" si="2"/>
        <v>4.547473508864641E-13</v>
      </c>
      <c r="G47" s="59">
        <f t="shared" si="2"/>
        <v>2.2737367544323206E-13</v>
      </c>
      <c r="H47" s="59">
        <f t="shared" si="2"/>
        <v>2.2737367544323206E-13</v>
      </c>
      <c r="I47" s="215"/>
      <c r="J47" s="215"/>
    </row>
    <row r="48" spans="1:10" ht="13.5" thickTop="1">
      <c r="A48" s="165"/>
      <c r="B48" s="165"/>
      <c r="C48" s="314"/>
      <c r="D48" s="101"/>
      <c r="E48" s="101"/>
      <c r="F48" s="101"/>
      <c r="G48" s="101"/>
      <c r="H48" s="101"/>
      <c r="I48" s="215"/>
      <c r="J48" s="215"/>
    </row>
    <row r="49" spans="1:10" ht="13.5" thickBot="1">
      <c r="A49" s="461" t="s">
        <v>348</v>
      </c>
      <c r="B49" s="461"/>
      <c r="C49" s="59">
        <f aca="true" t="shared" si="3" ref="C49:H49">+C47+C32</f>
        <v>0</v>
      </c>
      <c r="D49" s="59">
        <f t="shared" si="3"/>
        <v>9.094947017729283E-15</v>
      </c>
      <c r="E49" s="59">
        <f t="shared" si="3"/>
        <v>6.8212102632969615E-15</v>
      </c>
      <c r="F49" s="59">
        <f t="shared" si="3"/>
        <v>4.3883119360543786E-13</v>
      </c>
      <c r="G49" s="59">
        <f t="shared" si="3"/>
        <v>2.0008883439004421E-13</v>
      </c>
      <c r="H49" s="59">
        <f t="shared" si="3"/>
        <v>1.887201506178826E-13</v>
      </c>
      <c r="I49" s="215"/>
      <c r="J49" s="215"/>
    </row>
    <row r="50" spans="3:8" ht="13.5" thickTop="1">
      <c r="C50" s="342"/>
      <c r="D50" s="342"/>
      <c r="E50" s="342"/>
      <c r="F50" s="342"/>
      <c r="G50" s="342"/>
      <c r="H50" s="342"/>
    </row>
    <row r="51" spans="3:8" ht="12.75">
      <c r="C51" s="422">
        <f aca="true" t="shared" si="4" ref="C51:H51">+C24-C49</f>
        <v>0</v>
      </c>
      <c r="D51" s="422">
        <f t="shared" si="4"/>
        <v>4.4565240386873483E-13</v>
      </c>
      <c r="E51" s="422">
        <f t="shared" si="4"/>
        <v>-6.8212102632969615E-15</v>
      </c>
      <c r="F51" s="422">
        <f t="shared" si="4"/>
        <v>-4.3883119360543786E-13</v>
      </c>
      <c r="G51" s="422">
        <f t="shared" si="4"/>
        <v>-2.0008883439004421E-13</v>
      </c>
      <c r="H51" s="422">
        <f t="shared" si="4"/>
        <v>-1.887201506178826E-13</v>
      </c>
    </row>
    <row r="52" spans="3:8" ht="12.75">
      <c r="C52" s="342"/>
      <c r="D52" s="344">
        <f>+D51-C51</f>
        <v>4.4565240386873483E-13</v>
      </c>
      <c r="E52" s="344">
        <f>+E51-D51</f>
        <v>-4.524736141320318E-13</v>
      </c>
      <c r="F52" s="344">
        <f>+F51-E51</f>
        <v>-4.320099833421409E-13</v>
      </c>
      <c r="G52" s="344">
        <f>+G51-F51</f>
        <v>2.387423592153936E-13</v>
      </c>
      <c r="H52" s="344">
        <f>+H51-G51</f>
        <v>1.1368683772161613E-14</v>
      </c>
    </row>
    <row r="53" spans="3:8" ht="12.75">
      <c r="C53" s="342"/>
      <c r="D53" s="342"/>
      <c r="E53" s="342"/>
      <c r="F53" s="342"/>
      <c r="G53" s="342"/>
      <c r="H53" s="342"/>
    </row>
    <row r="54" spans="3:8" ht="12.75">
      <c r="C54" s="342"/>
      <c r="D54" s="343"/>
      <c r="E54" s="345"/>
      <c r="F54" s="345"/>
      <c r="G54" s="342"/>
      <c r="H54" s="342"/>
    </row>
    <row r="55" spans="3:8" ht="12.75">
      <c r="C55" s="336"/>
      <c r="D55" s="336"/>
      <c r="E55" s="336"/>
      <c r="F55" s="336"/>
      <c r="G55" s="336"/>
      <c r="H55" s="336"/>
    </row>
    <row r="56" spans="3:8" ht="12.75">
      <c r="C56" s="336"/>
      <c r="D56" s="336"/>
      <c r="E56" s="336"/>
      <c r="F56" s="336"/>
      <c r="G56" s="336"/>
      <c r="H56" s="336"/>
    </row>
    <row r="57" spans="3:8" ht="12.75">
      <c r="C57" s="336"/>
      <c r="D57" s="336"/>
      <c r="E57" s="336"/>
      <c r="F57" s="336"/>
      <c r="G57" s="336"/>
      <c r="H57" s="336"/>
    </row>
  </sheetData>
  <sheetProtection password="8618" sheet="1" objects="1" scenarios="1"/>
  <mergeCells count="8">
    <mergeCell ref="A4:H4"/>
    <mergeCell ref="A8:B8"/>
    <mergeCell ref="A24:B24"/>
    <mergeCell ref="A26:B26"/>
    <mergeCell ref="A34:B34"/>
    <mergeCell ref="A47:B47"/>
    <mergeCell ref="A49:B49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52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42.8515625" style="111" bestFit="1" customWidth="1"/>
    <col min="2" max="11" width="11.421875" style="111" customWidth="1"/>
    <col min="12" max="16384" width="8.7109375" style="111" customWidth="1"/>
  </cols>
  <sheetData>
    <row r="1" spans="1:7" ht="12.75">
      <c r="A1" s="101"/>
      <c r="B1" s="101"/>
      <c r="C1" s="94"/>
      <c r="D1" s="94"/>
      <c r="E1" s="94"/>
      <c r="F1" s="91" t="str">
        <f>+VN!G1</f>
        <v>Empresa:</v>
      </c>
      <c r="G1" s="138" t="str">
        <f>+Pressupostos!E1</f>
        <v>XPTO, Lda</v>
      </c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101"/>
      <c r="B3" s="101"/>
      <c r="C3" s="101"/>
      <c r="D3" s="101"/>
      <c r="E3" s="101"/>
      <c r="F3" s="101"/>
      <c r="G3" s="101"/>
    </row>
    <row r="4" spans="1:7" ht="15.75">
      <c r="A4" s="458" t="s">
        <v>116</v>
      </c>
      <c r="B4" s="458"/>
      <c r="C4" s="458"/>
      <c r="D4" s="458"/>
      <c r="E4" s="458"/>
      <c r="F4" s="458"/>
      <c r="G4" s="458"/>
    </row>
    <row r="5" spans="1:7" ht="13.5" thickBot="1">
      <c r="A5" s="101"/>
      <c r="B5" s="101"/>
      <c r="C5" s="101"/>
      <c r="D5" s="101"/>
      <c r="E5" s="101"/>
      <c r="F5" s="101"/>
      <c r="G5" s="101"/>
    </row>
    <row r="6" spans="1:7" ht="13.5" thickBot="1">
      <c r="A6" s="346" t="s">
        <v>204</v>
      </c>
      <c r="B6" s="347">
        <f>+VN!C8</f>
        <v>2007</v>
      </c>
      <c r="C6" s="347">
        <f>+VN!D8</f>
        <v>2008</v>
      </c>
      <c r="D6" s="347">
        <f>+VN!E8</f>
        <v>2009</v>
      </c>
      <c r="E6" s="347">
        <f>+VN!F8</f>
        <v>2010</v>
      </c>
      <c r="F6" s="347">
        <f>+VN!G8</f>
        <v>2011</v>
      </c>
      <c r="G6" s="348">
        <f>+VN!H8</f>
        <v>2012</v>
      </c>
    </row>
    <row r="7" spans="1:7" ht="12.75">
      <c r="A7" s="349" t="s">
        <v>198</v>
      </c>
      <c r="B7" s="280"/>
      <c r="C7" s="280" t="e">
        <f>+('DR'!C10/'DR'!B10)-1</f>
        <v>#DIV/0!</v>
      </c>
      <c r="D7" s="280" t="e">
        <f>+('DR'!D10/'DR'!C10)-1</f>
        <v>#DIV/0!</v>
      </c>
      <c r="E7" s="280" t="e">
        <f>+('DR'!E10/'DR'!D10)-1</f>
        <v>#DIV/0!</v>
      </c>
      <c r="F7" s="280" t="e">
        <f>+('DR'!F10/'DR'!E10)-1</f>
        <v>#DIV/0!</v>
      </c>
      <c r="G7" s="350" t="e">
        <f>+('DR'!G10/'DR'!F10)-1</f>
        <v>#DIV/0!</v>
      </c>
    </row>
    <row r="8" spans="1:7" ht="12.75">
      <c r="A8" s="349" t="s">
        <v>199</v>
      </c>
      <c r="B8" s="280"/>
      <c r="C8" s="280" t="e">
        <f>('DR'!C10/('DR'!C11+'DR'!C12+'DR'!C13+'DR'!C16+'DR'!C18+'DR'!C19+'DR'!C21))-1</f>
        <v>#DIV/0!</v>
      </c>
      <c r="D8" s="280" t="e">
        <f>('DR'!D10/('DR'!D11+'DR'!D12+'DR'!D13+'DR'!D16+'DR'!D18+'DR'!D19+'DR'!D21))-1</f>
        <v>#DIV/0!</v>
      </c>
      <c r="E8" s="280" t="e">
        <f>('DR'!E10/('DR'!E11+'DR'!E12+'DR'!E13+'DR'!E16+'DR'!E18+'DR'!E19+'DR'!E21))-1</f>
        <v>#DIV/0!</v>
      </c>
      <c r="F8" s="280" t="e">
        <f>('DR'!F10/('DR'!F11+'DR'!F12+'DR'!F13+'DR'!F16+'DR'!F18+'DR'!F19+'DR'!F21))-1</f>
        <v>#DIV/0!</v>
      </c>
      <c r="G8" s="350" t="e">
        <f>('DR'!G10/('DR'!G11+'DR'!G12+'DR'!G13+'DR'!G16+'DR'!G18+'DR'!G19+'DR'!G21))-1</f>
        <v>#DIV/0!</v>
      </c>
    </row>
    <row r="9" spans="1:7" ht="12.75">
      <c r="A9" s="349" t="s">
        <v>200</v>
      </c>
      <c r="B9" s="280"/>
      <c r="C9" s="280" t="e">
        <f>+'DR'!C26/'DR'!C10</f>
        <v>#DIV/0!</v>
      </c>
      <c r="D9" s="280" t="e">
        <f>+'DR'!D26/'DR'!D10</f>
        <v>#DIV/0!</v>
      </c>
      <c r="E9" s="280" t="e">
        <f>+'DR'!E26/'DR'!E10</f>
        <v>#DIV/0!</v>
      </c>
      <c r="F9" s="280" t="e">
        <f>+'DR'!F26/'DR'!F10</f>
        <v>#DIV/0!</v>
      </c>
      <c r="G9" s="350" t="e">
        <f>+'DR'!G26/'DR'!G10</f>
        <v>#DIV/0!</v>
      </c>
    </row>
    <row r="10" spans="1:7" ht="12.75">
      <c r="A10" s="349" t="s">
        <v>201</v>
      </c>
      <c r="B10" s="280"/>
      <c r="C10" s="280" t="e">
        <f>+'DR'!C34/'DR'!C10</f>
        <v>#DIV/0!</v>
      </c>
      <c r="D10" s="280" t="e">
        <f>+'DR'!D34/'DR'!D10</f>
        <v>#DIV/0!</v>
      </c>
      <c r="E10" s="280" t="e">
        <f>+'DR'!E34/'DR'!E10</f>
        <v>#DIV/0!</v>
      </c>
      <c r="F10" s="280" t="e">
        <f>+'DR'!F34/'DR'!F10</f>
        <v>#DIV/0!</v>
      </c>
      <c r="G10" s="350" t="e">
        <f>+'DR'!G34/'DR'!G10</f>
        <v>#DIV/0!</v>
      </c>
    </row>
    <row r="11" spans="1:7" ht="13.5" thickBot="1">
      <c r="A11" s="351" t="s">
        <v>202</v>
      </c>
      <c r="B11" s="352"/>
      <c r="C11" s="352" t="e">
        <f>+'DR'!C19/'DR'!C10</f>
        <v>#DIV/0!</v>
      </c>
      <c r="D11" s="352" t="e">
        <f>+'DR'!D19/'DR'!D10</f>
        <v>#DIV/0!</v>
      </c>
      <c r="E11" s="352" t="e">
        <f>+'DR'!E19/'DR'!E10</f>
        <v>#DIV/0!</v>
      </c>
      <c r="F11" s="352" t="e">
        <f>+'DR'!F19/'DR'!F10</f>
        <v>#DIV/0!</v>
      </c>
      <c r="G11" s="353" t="e">
        <f>+'DR'!G19/'DR'!G10</f>
        <v>#DIV/0!</v>
      </c>
    </row>
    <row r="12" spans="1:7" ht="13.5" thickBot="1">
      <c r="A12" s="101"/>
      <c r="B12" s="101"/>
      <c r="C12" s="101"/>
      <c r="D12" s="101"/>
      <c r="E12" s="101"/>
      <c r="F12" s="101"/>
      <c r="G12" s="101"/>
    </row>
    <row r="13" spans="1:7" ht="13.5" thickBot="1">
      <c r="A13" s="346" t="s">
        <v>203</v>
      </c>
      <c r="B13" s="347">
        <f aca="true" t="shared" si="0" ref="B13:G13">+B6</f>
        <v>2007</v>
      </c>
      <c r="C13" s="347">
        <f t="shared" si="0"/>
        <v>2008</v>
      </c>
      <c r="D13" s="347">
        <f t="shared" si="0"/>
        <v>2009</v>
      </c>
      <c r="E13" s="347">
        <f t="shared" si="0"/>
        <v>2010</v>
      </c>
      <c r="F13" s="347">
        <f t="shared" si="0"/>
        <v>2011</v>
      </c>
      <c r="G13" s="348">
        <f t="shared" si="0"/>
        <v>2012</v>
      </c>
    </row>
    <row r="14" spans="1:7" ht="12.75">
      <c r="A14" s="349" t="s">
        <v>209</v>
      </c>
      <c r="B14" s="280"/>
      <c r="C14" s="280">
        <f>+'DR'!C34/Balanço!D24</f>
        <v>0.015</v>
      </c>
      <c r="D14" s="280" t="e">
        <f>+'DR'!D34/Balanço!E24</f>
        <v>#DIV/0!</v>
      </c>
      <c r="E14" s="280" t="e">
        <f>+'DR'!E34/Balanço!F24</f>
        <v>#DIV/0!</v>
      </c>
      <c r="F14" s="280" t="e">
        <f>+'DR'!F34/Balanço!G24</f>
        <v>#DIV/0!</v>
      </c>
      <c r="G14" s="350" t="e">
        <f>+'DR'!G34/Balanço!H24</f>
        <v>#DIV/0!</v>
      </c>
    </row>
    <row r="15" spans="1:7" ht="12.75">
      <c r="A15" s="349" t="s">
        <v>210</v>
      </c>
      <c r="B15" s="280"/>
      <c r="C15" s="280">
        <f>+'DR'!C26/Balanço!D24</f>
        <v>0</v>
      </c>
      <c r="D15" s="280" t="e">
        <f>+'DR'!D26/Balanço!E24</f>
        <v>#DIV/0!</v>
      </c>
      <c r="E15" s="280" t="e">
        <f>+'DR'!E26/Balanço!F24</f>
        <v>#DIV/0!</v>
      </c>
      <c r="F15" s="280" t="e">
        <f>+'DR'!F26/Balanço!G24</f>
        <v>#DIV/0!</v>
      </c>
      <c r="G15" s="350" t="e">
        <f>+'DR'!G26/Balanço!H24</f>
        <v>#DIV/0!</v>
      </c>
    </row>
    <row r="16" spans="1:7" ht="12.75">
      <c r="A16" s="349" t="s">
        <v>211</v>
      </c>
      <c r="B16" s="280"/>
      <c r="C16" s="280">
        <f>+'DR'!C10/Balanço!D24</f>
        <v>0</v>
      </c>
      <c r="D16" s="280" t="e">
        <f>+'DR'!D10/Balanço!E24</f>
        <v>#DIV/0!</v>
      </c>
      <c r="E16" s="280" t="e">
        <f>+'DR'!E10/Balanço!F24</f>
        <v>#DIV/0!</v>
      </c>
      <c r="F16" s="280" t="e">
        <f>+'DR'!F10/Balanço!G24</f>
        <v>#DIV/0!</v>
      </c>
      <c r="G16" s="350" t="e">
        <f>+'DR'!G10/Balanço!H24</f>
        <v>#DIV/0!</v>
      </c>
    </row>
    <row r="17" spans="1:7" ht="12.75">
      <c r="A17" s="349" t="s">
        <v>212</v>
      </c>
      <c r="B17" s="280"/>
      <c r="C17" s="280" t="e">
        <f>+'DR'!C10/(Balanço!D10+Balanço!D11-Balanço!D12)</f>
        <v>#DIV/0!</v>
      </c>
      <c r="D17" s="280" t="e">
        <f>+'DR'!D10/(Balanço!E10+Balanço!E11-Balanço!E12)</f>
        <v>#DIV/0!</v>
      </c>
      <c r="E17" s="280" t="e">
        <f>+'DR'!E10/(Balanço!F10+Balanço!F11-Balanço!F12)</f>
        <v>#DIV/0!</v>
      </c>
      <c r="F17" s="280" t="e">
        <f>+'DR'!F10/(Balanço!G10+Balanço!G11-Balanço!G12)</f>
        <v>#DIV/0!</v>
      </c>
      <c r="G17" s="350" t="e">
        <f>+'DR'!G10/(Balanço!H10+Balanço!H11-Balanço!H12)</f>
        <v>#DIV/0!</v>
      </c>
    </row>
    <row r="18" spans="1:7" ht="12.75">
      <c r="A18" s="354" t="s">
        <v>213</v>
      </c>
      <c r="B18" s="355"/>
      <c r="C18" s="355">
        <f>+'DR'!C34/Balanço!D32</f>
        <v>1</v>
      </c>
      <c r="D18" s="355">
        <f>+'DR'!D34/Balanço!E32</f>
        <v>0</v>
      </c>
      <c r="E18" s="355">
        <f>+'DR'!E34/Balanço!F32</f>
        <v>1.4285714285714286</v>
      </c>
      <c r="F18" s="355">
        <f>+'DR'!F34/Balanço!G32</f>
        <v>0.41666666666666663</v>
      </c>
      <c r="G18" s="356">
        <f>+'DR'!G34/Balanço!H32</f>
        <v>0.29411764705882354</v>
      </c>
    </row>
    <row r="19" spans="1:7" ht="13.5" thickBot="1">
      <c r="A19" s="357" t="s">
        <v>214</v>
      </c>
      <c r="B19" s="358"/>
      <c r="C19" s="358">
        <f>+'DR'!C10/Balanço!D32</f>
        <v>0</v>
      </c>
      <c r="D19" s="358">
        <f>+'DR'!D10/Balanço!E32</f>
        <v>0</v>
      </c>
      <c r="E19" s="358">
        <f>+'DR'!E10/Balanço!F32</f>
        <v>0</v>
      </c>
      <c r="F19" s="358">
        <f>+'DR'!F10/Balanço!G32</f>
        <v>0</v>
      </c>
      <c r="G19" s="359">
        <f>+'DR'!G10/Balanço!H32</f>
        <v>0</v>
      </c>
    </row>
    <row r="20" spans="1:7" ht="13.5" thickBot="1">
      <c r="A20" s="101"/>
      <c r="B20" s="101"/>
      <c r="C20" s="101"/>
      <c r="D20" s="101"/>
      <c r="E20" s="101"/>
      <c r="F20" s="101"/>
      <c r="G20" s="101"/>
    </row>
    <row r="21" spans="1:7" ht="13.5" thickBot="1">
      <c r="A21" s="346" t="s">
        <v>205</v>
      </c>
      <c r="B21" s="347">
        <f aca="true" t="shared" si="1" ref="B21:G21">+B6</f>
        <v>2007</v>
      </c>
      <c r="C21" s="347">
        <f t="shared" si="1"/>
        <v>2008</v>
      </c>
      <c r="D21" s="347">
        <f t="shared" si="1"/>
        <v>2009</v>
      </c>
      <c r="E21" s="347">
        <f t="shared" si="1"/>
        <v>2010</v>
      </c>
      <c r="F21" s="347">
        <f t="shared" si="1"/>
        <v>2011</v>
      </c>
      <c r="G21" s="348">
        <f t="shared" si="1"/>
        <v>2012</v>
      </c>
    </row>
    <row r="22" spans="1:7" ht="12.75">
      <c r="A22" s="349" t="s">
        <v>32</v>
      </c>
      <c r="B22" s="280"/>
      <c r="C22" s="280">
        <f>+Balanço!D32/Balanço!D24</f>
        <v>0.015</v>
      </c>
      <c r="D22" s="280" t="e">
        <f>+Balanço!E32/Balanço!E24</f>
        <v>#DIV/0!</v>
      </c>
      <c r="E22" s="280" t="e">
        <f>+Balanço!F32/Balanço!F24</f>
        <v>#DIV/0!</v>
      </c>
      <c r="F22" s="280" t="e">
        <f>+Balanço!G32/Balanço!G24</f>
        <v>#DIV/0!</v>
      </c>
      <c r="G22" s="350" t="e">
        <f>+Balanço!H32/Balanço!H24</f>
        <v>#DIV/0!</v>
      </c>
    </row>
    <row r="23" spans="1:7" ht="12.75">
      <c r="A23" s="349" t="s">
        <v>20</v>
      </c>
      <c r="B23" s="280"/>
      <c r="C23" s="280">
        <f>+Balanço!D32/Balanço!D47</f>
        <v>3</v>
      </c>
      <c r="D23" s="280" t="e">
        <f>+Balanço!E32/Balanço!E47</f>
        <v>#DIV/0!</v>
      </c>
      <c r="E23" s="280">
        <f>+Balanço!F32/Balanço!F47</f>
        <v>-0.035</v>
      </c>
      <c r="F23" s="280">
        <f>+Balanço!G32/Balanço!G47</f>
        <v>-0.12000000000000001</v>
      </c>
      <c r="G23" s="350">
        <f>+Balanço!H32/Balanço!H47</f>
        <v>-0.17</v>
      </c>
    </row>
    <row r="24" spans="1:7" ht="12.75">
      <c r="A24" s="349" t="s">
        <v>206</v>
      </c>
      <c r="B24" s="280"/>
      <c r="C24" s="280">
        <f>+Balanço!D47/Balanço!D24</f>
        <v>0.005</v>
      </c>
      <c r="D24" s="280" t="e">
        <f>+Balanço!E47/Balanço!E24</f>
        <v>#DIV/0!</v>
      </c>
      <c r="E24" s="280" t="e">
        <f>+Balanço!F47/Balanço!F24</f>
        <v>#DIV/0!</v>
      </c>
      <c r="F24" s="280" t="e">
        <f>+Balanço!G47/Balanço!G24</f>
        <v>#DIV/0!</v>
      </c>
      <c r="G24" s="350" t="e">
        <f>+Balanço!H47/Balanço!H24</f>
        <v>#DIV/0!</v>
      </c>
    </row>
    <row r="25" spans="1:7" ht="13.5" thickBot="1">
      <c r="A25" s="351" t="s">
        <v>207</v>
      </c>
      <c r="B25" s="352"/>
      <c r="C25" s="352">
        <f>+SUM(Balanço!D37:D40)/Balanço!D24</f>
        <v>0</v>
      </c>
      <c r="D25" s="352" t="e">
        <f>+SUM(Balanço!E37:E40)/Balanço!E24</f>
        <v>#DIV/0!</v>
      </c>
      <c r="E25" s="352" t="e">
        <f>+SUM(Balanço!F37:F40)/Balanço!F24</f>
        <v>#DIV/0!</v>
      </c>
      <c r="F25" s="352" t="e">
        <f>+SUM(Balanço!G37:G40)/Balanço!G24</f>
        <v>#DIV/0!</v>
      </c>
      <c r="G25" s="353" t="e">
        <f>+SUM(Balanço!H37:H40)/Balanço!H24</f>
        <v>#DIV/0!</v>
      </c>
    </row>
    <row r="26" spans="1:7" ht="13.5" thickBot="1">
      <c r="A26" s="101"/>
      <c r="B26" s="101"/>
      <c r="C26" s="101"/>
      <c r="D26" s="101"/>
      <c r="E26" s="101"/>
      <c r="F26" s="101"/>
      <c r="G26" s="101"/>
    </row>
    <row r="27" spans="1:7" ht="13.5" thickBot="1">
      <c r="A27" s="346" t="s">
        <v>208</v>
      </c>
      <c r="B27" s="347">
        <f aca="true" t="shared" si="2" ref="B27:G27">+B6</f>
        <v>2007</v>
      </c>
      <c r="C27" s="347">
        <f t="shared" si="2"/>
        <v>2008</v>
      </c>
      <c r="D27" s="347">
        <f t="shared" si="2"/>
        <v>2009</v>
      </c>
      <c r="E27" s="347">
        <f t="shared" si="2"/>
        <v>2010</v>
      </c>
      <c r="F27" s="347">
        <f t="shared" si="2"/>
        <v>2011</v>
      </c>
      <c r="G27" s="348">
        <f t="shared" si="2"/>
        <v>2012</v>
      </c>
    </row>
    <row r="28" spans="1:7" ht="12.75">
      <c r="A28" s="349" t="s">
        <v>21</v>
      </c>
      <c r="B28" s="161"/>
      <c r="C28" s="280">
        <f>(Balanço!D16+Balanço!D18+Balanço!D20+Balanço!D22+Balanço!D23)/SUM(Balanço!D42:D46)</f>
        <v>200</v>
      </c>
      <c r="D28" s="280" t="e">
        <f>(Balanço!E16+Balanço!E18+Balanço!E20+Balanço!E22+Balanço!E23)/SUM(Balanço!E42:E46)</f>
        <v>#DIV/0!</v>
      </c>
      <c r="E28" s="280">
        <f>(Balanço!F16+Balanço!F18+Balanço!F20+Balanço!F22+Balanço!F23)/SUM(Balanço!F42:F46)</f>
        <v>0</v>
      </c>
      <c r="F28" s="280">
        <f>(Balanço!G16+Balanço!G18+Balanço!G20+Balanço!G22+Balanço!G23)/SUM(Balanço!G42:G46)</f>
        <v>0</v>
      </c>
      <c r="G28" s="350">
        <f>(Balanço!H16+Balanço!H18+Balanço!H20+Balanço!H22+Balanço!H23)/SUM(Balanço!H42:H46)</f>
        <v>0</v>
      </c>
    </row>
    <row r="29" spans="1:7" ht="13.5" thickBot="1">
      <c r="A29" s="351" t="s">
        <v>22</v>
      </c>
      <c r="B29" s="360"/>
      <c r="C29" s="352">
        <f>(Balanço!D18+Balanço!D20+Balanço!D22+Balanço!D23)/SUM(Balanço!D42:D46)</f>
        <v>200</v>
      </c>
      <c r="D29" s="352" t="e">
        <f>(Balanço!E18+Balanço!E20+Balanço!E22+Balanço!E23)/SUM(Balanço!E42:E46)</f>
        <v>#DIV/0!</v>
      </c>
      <c r="E29" s="352">
        <f>(Balanço!F18+Balanço!F20+Balanço!F22+Balanço!F23)/SUM(Balanço!F42:F46)</f>
        <v>0</v>
      </c>
      <c r="F29" s="352">
        <f>(Balanço!G18+Balanço!G20+Balanço!G22+Balanço!G23)/SUM(Balanço!G42:G46)</f>
        <v>0</v>
      </c>
      <c r="G29" s="353">
        <f>(Balanço!H18+Balanço!H20+Balanço!H22+Balanço!H23)/SUM(Balanço!H42:H46)</f>
        <v>0</v>
      </c>
    </row>
    <row r="30" spans="1:7" ht="13.5" thickBot="1">
      <c r="A30" s="101"/>
      <c r="B30" s="101"/>
      <c r="C30" s="101"/>
      <c r="D30" s="101"/>
      <c r="E30" s="101"/>
      <c r="F30" s="101"/>
      <c r="G30" s="101"/>
    </row>
    <row r="31" spans="1:7" ht="13.5" thickBot="1">
      <c r="A31" s="346" t="s">
        <v>349</v>
      </c>
      <c r="B31" s="347">
        <f aca="true" t="shared" si="3" ref="B31:G31">+B6</f>
        <v>2007</v>
      </c>
      <c r="C31" s="347">
        <f t="shared" si="3"/>
        <v>2008</v>
      </c>
      <c r="D31" s="347">
        <f t="shared" si="3"/>
        <v>2009</v>
      </c>
      <c r="E31" s="347">
        <f t="shared" si="3"/>
        <v>2010</v>
      </c>
      <c r="F31" s="347">
        <f t="shared" si="3"/>
        <v>2011</v>
      </c>
      <c r="G31" s="348">
        <f t="shared" si="3"/>
        <v>2012</v>
      </c>
    </row>
    <row r="32" spans="1:7" ht="12.75">
      <c r="A32" s="361" t="s">
        <v>23</v>
      </c>
      <c r="B32" s="362"/>
      <c r="C32" s="362">
        <f>+Balanço!D32+SUM(Balanço!D37:D40)</f>
        <v>6.8212102632969615E-15</v>
      </c>
      <c r="D32" s="362">
        <f>+Balanço!E32+SUM(Balanço!E37:E40)</f>
        <v>6.8212102632969615E-15</v>
      </c>
      <c r="E32" s="362">
        <f>+Balanço!F32+SUM(Balanço!F37:F40)</f>
        <v>-1.5916157281026246E-14</v>
      </c>
      <c r="F32" s="362">
        <f>+Balanço!G32+SUM(Balanço!G37:G40)</f>
        <v>-2.728484105318785E-14</v>
      </c>
      <c r="G32" s="363">
        <f>+Balanço!H32+SUM(Balanço!H37:H40)</f>
        <v>-3.865352482534945E-14</v>
      </c>
    </row>
    <row r="33" spans="1:7" ht="12.75">
      <c r="A33" s="364" t="s">
        <v>24</v>
      </c>
      <c r="B33" s="161"/>
      <c r="C33" s="161">
        <f>+Balanço!D10+Balanço!D11-Balanço!D12</f>
        <v>0</v>
      </c>
      <c r="D33" s="161">
        <f>+Balanço!E10+Balanço!E11-Balanço!E12</f>
        <v>0</v>
      </c>
      <c r="E33" s="161">
        <f>+Balanço!F10+Balanço!F11-Balanço!F12</f>
        <v>0</v>
      </c>
      <c r="F33" s="161">
        <f>+Balanço!G10+Balanço!G11-Balanço!G12</f>
        <v>0</v>
      </c>
      <c r="G33" s="365">
        <f>+Balanço!H10+Balanço!H11-Balanço!H12</f>
        <v>0</v>
      </c>
    </row>
    <row r="34" spans="1:7" ht="12.75">
      <c r="A34" s="366" t="s">
        <v>350</v>
      </c>
      <c r="B34" s="201"/>
      <c r="C34" s="201">
        <f>C32-C33</f>
        <v>6.8212102632969615E-15</v>
      </c>
      <c r="D34" s="201">
        <f>D32-D33</f>
        <v>6.8212102632969615E-15</v>
      </c>
      <c r="E34" s="201">
        <f>E32-E33</f>
        <v>-1.5916157281026246E-14</v>
      </c>
      <c r="F34" s="201">
        <f>F32-F33</f>
        <v>-2.728484105318785E-14</v>
      </c>
      <c r="G34" s="367">
        <f>G32-G33</f>
        <v>-3.865352482534945E-14</v>
      </c>
    </row>
    <row r="35" spans="1:7" ht="12.75">
      <c r="A35" s="364" t="s">
        <v>351</v>
      </c>
      <c r="B35" s="161"/>
      <c r="C35" s="161">
        <f>+Balanço!D16+Balanço!D18+Balanço!D20</f>
        <v>0</v>
      </c>
      <c r="D35" s="161">
        <f>+Balanço!E16+Balanço!E18+Balanço!E20</f>
        <v>0</v>
      </c>
      <c r="E35" s="161">
        <f>+Balanço!F16+Balanço!F18+Balanço!F20</f>
        <v>0</v>
      </c>
      <c r="F35" s="161">
        <f>+Balanço!G16+Balanço!G18+Balanço!G20</f>
        <v>0</v>
      </c>
      <c r="G35" s="365">
        <f>+Balanço!H16+Balanço!H18+Balanço!H20</f>
        <v>0</v>
      </c>
    </row>
    <row r="36" spans="1:7" ht="12.75">
      <c r="A36" s="364" t="s">
        <v>352</v>
      </c>
      <c r="B36" s="161"/>
      <c r="C36" s="161">
        <f>+Balanço!D43+Balanço!D45</f>
        <v>0</v>
      </c>
      <c r="D36" s="161">
        <f>+Balanço!E43+Balanço!E45</f>
        <v>0</v>
      </c>
      <c r="E36" s="161">
        <f>+Balanço!F43+Balanço!F45</f>
        <v>0</v>
      </c>
      <c r="F36" s="161">
        <f>+Balanço!G43+Balanço!G45</f>
        <v>0</v>
      </c>
      <c r="G36" s="365">
        <f>+Balanço!H43+Balanço!H45</f>
        <v>0</v>
      </c>
    </row>
    <row r="37" spans="1:7" ht="12.75">
      <c r="A37" s="366" t="s">
        <v>25</v>
      </c>
      <c r="B37" s="201"/>
      <c r="C37" s="201">
        <f>+C35-C36</f>
        <v>0</v>
      </c>
      <c r="D37" s="201">
        <f>+D35-D36</f>
        <v>0</v>
      </c>
      <c r="E37" s="201">
        <f>+E35-E36</f>
        <v>0</v>
      </c>
      <c r="F37" s="201">
        <f>+F35-F36</f>
        <v>0</v>
      </c>
      <c r="G37" s="367">
        <f>+G35-G36</f>
        <v>0</v>
      </c>
    </row>
    <row r="38" spans="1:7" ht="12.75">
      <c r="A38" s="364" t="s">
        <v>26</v>
      </c>
      <c r="B38" s="161"/>
      <c r="C38" s="161">
        <f>+Balanço!D22</f>
        <v>4.547473508864641E-13</v>
      </c>
      <c r="D38" s="161">
        <f>+Balanço!E22</f>
        <v>0</v>
      </c>
      <c r="E38" s="161">
        <f>+Balanço!F22</f>
        <v>0</v>
      </c>
      <c r="F38" s="161">
        <f>+Balanço!G22</f>
        <v>0</v>
      </c>
      <c r="G38" s="161">
        <f>+Balanço!H22</f>
        <v>0</v>
      </c>
    </row>
    <row r="39" spans="1:7" ht="12.75">
      <c r="A39" s="364" t="s">
        <v>27</v>
      </c>
      <c r="B39" s="161"/>
      <c r="C39" s="161">
        <f>+Balanço!D42+Balanço!D44</f>
        <v>2.2737367544323206E-15</v>
      </c>
      <c r="D39" s="161">
        <f>+Balanço!E42+Balanço!E44</f>
        <v>0</v>
      </c>
      <c r="E39" s="161">
        <f>+Balanço!F42+Balanço!F44</f>
        <v>4.547473508864641E-13</v>
      </c>
      <c r="F39" s="161">
        <f>+Balanço!G42+Balanço!G44</f>
        <v>2.2737367544323206E-13</v>
      </c>
      <c r="G39" s="365">
        <f>+Balanço!H42+Balanço!H44</f>
        <v>2.2737367544323206E-13</v>
      </c>
    </row>
    <row r="40" spans="1:7" ht="12.75">
      <c r="A40" s="366" t="s">
        <v>353</v>
      </c>
      <c r="B40" s="201"/>
      <c r="C40" s="201">
        <f>+C38-C39</f>
        <v>4.524736141320318E-13</v>
      </c>
      <c r="D40" s="201">
        <f>+D38-D39</f>
        <v>0</v>
      </c>
      <c r="E40" s="201">
        <f>+E38-E39</f>
        <v>-4.547473508864641E-13</v>
      </c>
      <c r="F40" s="201">
        <f>+F38-F39</f>
        <v>-2.2737367544323206E-13</v>
      </c>
      <c r="G40" s="367">
        <f>+G38-G39</f>
        <v>-2.2737367544323206E-13</v>
      </c>
    </row>
    <row r="41" spans="1:7" ht="12.75">
      <c r="A41" s="368"/>
      <c r="B41" s="283"/>
      <c r="C41" s="369"/>
      <c r="D41" s="369"/>
      <c r="E41" s="369"/>
      <c r="F41" s="369"/>
      <c r="G41" s="370"/>
    </row>
    <row r="42" spans="1:7" ht="12.75">
      <c r="A42" s="366" t="s">
        <v>28</v>
      </c>
      <c r="B42" s="161"/>
      <c r="C42" s="201">
        <f>+C34-C37</f>
        <v>6.8212102632969615E-15</v>
      </c>
      <c r="D42" s="201">
        <f>+D34-D37</f>
        <v>6.8212102632969615E-15</v>
      </c>
      <c r="E42" s="201">
        <f>+E34-E37</f>
        <v>-1.5916157281026246E-14</v>
      </c>
      <c r="F42" s="201">
        <f>+F34-F37</f>
        <v>-2.728484105318785E-14</v>
      </c>
      <c r="G42" s="367">
        <f>+G34-G37</f>
        <v>-3.865352482534945E-14</v>
      </c>
    </row>
    <row r="43" spans="1:7" ht="12.75">
      <c r="A43" s="368"/>
      <c r="B43" s="283"/>
      <c r="C43" s="371"/>
      <c r="D43" s="371"/>
      <c r="E43" s="371"/>
      <c r="F43" s="371"/>
      <c r="G43" s="372"/>
    </row>
    <row r="44" spans="1:7" ht="12.75">
      <c r="A44" s="366" t="s">
        <v>354</v>
      </c>
      <c r="B44" s="161"/>
      <c r="C44" s="161"/>
      <c r="D44" s="161">
        <f>D34-C34</f>
        <v>0</v>
      </c>
      <c r="E44" s="161">
        <f>E34-D34</f>
        <v>-2.2737367544323207E-14</v>
      </c>
      <c r="F44" s="161">
        <f>F34-E34</f>
        <v>-1.1368683772161604E-14</v>
      </c>
      <c r="G44" s="365">
        <f>G34-F34</f>
        <v>-1.1368683772161604E-14</v>
      </c>
    </row>
    <row r="45" spans="1:7" ht="12.75">
      <c r="A45" s="366" t="s">
        <v>355</v>
      </c>
      <c r="B45" s="161"/>
      <c r="C45" s="161"/>
      <c r="D45" s="161">
        <f>D37-C37</f>
        <v>0</v>
      </c>
      <c r="E45" s="161">
        <f>E37-D37</f>
        <v>0</v>
      </c>
      <c r="F45" s="161">
        <f>F37-E37</f>
        <v>0</v>
      </c>
      <c r="G45" s="365">
        <f>G37-F37</f>
        <v>0</v>
      </c>
    </row>
    <row r="46" spans="1:7" ht="13.5" thickBot="1">
      <c r="A46" s="373" t="s">
        <v>356</v>
      </c>
      <c r="B46" s="360"/>
      <c r="C46" s="360"/>
      <c r="D46" s="360">
        <f>D40-C40</f>
        <v>-4.524736141320318E-13</v>
      </c>
      <c r="E46" s="360">
        <f>E40-D40</f>
        <v>-4.547473508864641E-13</v>
      </c>
      <c r="F46" s="360">
        <f>F40-E40</f>
        <v>2.2737367544323206E-13</v>
      </c>
      <c r="G46" s="374">
        <f>G40-F40</f>
        <v>0</v>
      </c>
    </row>
    <row r="47" spans="1:7" ht="13.5" thickBot="1">
      <c r="A47" s="101"/>
      <c r="B47" s="101"/>
      <c r="C47" s="101"/>
      <c r="D47" s="101"/>
      <c r="E47" s="101"/>
      <c r="F47" s="101"/>
      <c r="G47" s="101"/>
    </row>
    <row r="48" spans="1:7" ht="13.5" thickBot="1">
      <c r="A48" s="346" t="s">
        <v>215</v>
      </c>
      <c r="B48" s="347">
        <f aca="true" t="shared" si="4" ref="B48:G48">+B6</f>
        <v>2007</v>
      </c>
      <c r="C48" s="347">
        <f t="shared" si="4"/>
        <v>2008</v>
      </c>
      <c r="D48" s="347">
        <f t="shared" si="4"/>
        <v>2009</v>
      </c>
      <c r="E48" s="347">
        <f t="shared" si="4"/>
        <v>2010</v>
      </c>
      <c r="F48" s="347">
        <f t="shared" si="4"/>
        <v>2011</v>
      </c>
      <c r="G48" s="348">
        <f t="shared" si="4"/>
        <v>2012</v>
      </c>
    </row>
    <row r="49" spans="1:7" ht="12.75">
      <c r="A49" s="349" t="s">
        <v>133</v>
      </c>
      <c r="B49" s="280"/>
      <c r="C49" s="325">
        <f>+'DR'!C14</f>
        <v>0</v>
      </c>
      <c r="D49" s="325">
        <f>+'DR'!D14</f>
        <v>0</v>
      </c>
      <c r="E49" s="325">
        <f>+'DR'!E14</f>
        <v>0</v>
      </c>
      <c r="F49" s="325">
        <f>+'DR'!F14</f>
        <v>0</v>
      </c>
      <c r="G49" s="375">
        <f>+'DR'!G14</f>
        <v>0</v>
      </c>
    </row>
    <row r="50" spans="1:7" ht="12.75">
      <c r="A50" s="349" t="s">
        <v>357</v>
      </c>
      <c r="B50" s="280"/>
      <c r="C50" s="280" t="e">
        <f>+C49/'DR'!C26</f>
        <v>#DIV/0!</v>
      </c>
      <c r="D50" s="280" t="e">
        <f>+D49/'DR'!D26</f>
        <v>#DIV/0!</v>
      </c>
      <c r="E50" s="280" t="e">
        <f>+E49/'DR'!E26</f>
        <v>#DIV/0!</v>
      </c>
      <c r="F50" s="280" t="e">
        <f>+F49/'DR'!F26</f>
        <v>#DIV/0!</v>
      </c>
      <c r="G50" s="350" t="e">
        <f>+G49/'DR'!G26</f>
        <v>#DIV/0!</v>
      </c>
    </row>
    <row r="51" spans="1:7" ht="12.75">
      <c r="A51" s="349" t="s">
        <v>358</v>
      </c>
      <c r="B51" s="280"/>
      <c r="C51" s="325" t="e">
        <f>('DR'!C16+'DR'!C19+'DR'!C24+'DR'!C25)/(Indicadores!C49/'DR'!C10)</f>
        <v>#DIV/0!</v>
      </c>
      <c r="D51" s="325" t="e">
        <f>('DR'!D16+'DR'!D19+'DR'!D24+'DR'!D25)/(Indicadores!D49/'DR'!D10)</f>
        <v>#DIV/0!</v>
      </c>
      <c r="E51" s="325" t="e">
        <f>('DR'!E16+'DR'!E19+'DR'!E24+'DR'!E25)/(Indicadores!E49/'DR'!E10)</f>
        <v>#DIV/0!</v>
      </c>
      <c r="F51" s="325" t="e">
        <f>('DR'!F16+'DR'!F19+'DR'!F24+'DR'!F25)/(Indicadores!F49/'DR'!F10)</f>
        <v>#DIV/0!</v>
      </c>
      <c r="G51" s="375" t="e">
        <f>('DR'!G16+'DR'!G19+'DR'!G24+'DR'!G25)/(Indicadores!G49/'DR'!G10)</f>
        <v>#DIV/0!</v>
      </c>
    </row>
    <row r="52" spans="1:7" ht="13.5" thickBot="1">
      <c r="A52" s="351" t="s">
        <v>216</v>
      </c>
      <c r="B52" s="352"/>
      <c r="C52" s="352" t="e">
        <f>+('DR'!C10/Indicadores!C51)-1</f>
        <v>#DIV/0!</v>
      </c>
      <c r="D52" s="352" t="e">
        <f>+('DR'!D10/Indicadores!D51)-1</f>
        <v>#DIV/0!</v>
      </c>
      <c r="E52" s="352" t="e">
        <f>+('DR'!E10/Indicadores!E51)-1</f>
        <v>#DIV/0!</v>
      </c>
      <c r="F52" s="352" t="e">
        <f>+('DR'!F10/Indicadores!F51)-1</f>
        <v>#DIV/0!</v>
      </c>
      <c r="G52" s="353" t="e">
        <f>+('DR'!G10/Indicadores!G51)-1</f>
        <v>#DIV/0!</v>
      </c>
    </row>
  </sheetData>
  <sheetProtection password="86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80"/>
  <sheetViews>
    <sheetView showGridLines="0" workbookViewId="0" topLeftCell="A37">
      <selection activeCell="C34" sqref="C34"/>
    </sheetView>
  </sheetViews>
  <sheetFormatPr defaultColWidth="9.140625" defaultRowHeight="12.75"/>
  <cols>
    <col min="1" max="1" width="31.421875" style="111" customWidth="1"/>
    <col min="2" max="9" width="11.421875" style="111" customWidth="1"/>
    <col min="10" max="10" width="8.7109375" style="111" customWidth="1"/>
    <col min="11" max="11" width="11.8515625" style="111" customWidth="1"/>
    <col min="12" max="13" width="8.7109375" style="111" customWidth="1"/>
    <col min="14" max="14" width="14.8515625" style="111" customWidth="1"/>
    <col min="15" max="15" width="13.140625" style="111" customWidth="1"/>
    <col min="16" max="16384" width="8.7109375" style="111" customWidth="1"/>
  </cols>
  <sheetData>
    <row r="1" spans="1:10" ht="12.75">
      <c r="A1" s="101"/>
      <c r="B1" s="101"/>
      <c r="C1" s="94"/>
      <c r="D1" s="94"/>
      <c r="E1" s="94"/>
      <c r="F1" s="94"/>
      <c r="G1" s="94"/>
      <c r="H1" s="91" t="str">
        <f>+VN!G1</f>
        <v>Empresa:</v>
      </c>
      <c r="I1" s="92" t="str">
        <f>+Pressupostos!E1</f>
        <v>XPTO, Lda</v>
      </c>
      <c r="J1" s="376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2.75">
      <c r="A4" s="498" t="s">
        <v>274</v>
      </c>
      <c r="B4" s="498"/>
      <c r="C4" s="498"/>
      <c r="D4" s="498"/>
      <c r="E4" s="498"/>
      <c r="F4" s="498"/>
      <c r="G4" s="498"/>
      <c r="H4" s="498"/>
      <c r="I4" s="498"/>
    </row>
    <row r="5" spans="1:9" ht="12.75">
      <c r="A5" s="101"/>
      <c r="B5" s="101"/>
      <c r="C5" s="101"/>
      <c r="D5" s="101"/>
      <c r="E5" s="101"/>
      <c r="F5" s="101"/>
      <c r="G5" s="101"/>
      <c r="H5" s="101"/>
      <c r="I5" s="101"/>
    </row>
    <row r="6" spans="1:15" ht="12.75">
      <c r="A6" s="101"/>
      <c r="B6" s="101"/>
      <c r="C6" s="101"/>
      <c r="D6" s="101"/>
      <c r="E6" s="101"/>
      <c r="F6" s="101"/>
      <c r="G6" s="101"/>
      <c r="H6" s="101"/>
      <c r="I6" s="101"/>
      <c r="K6" s="119"/>
      <c r="L6" s="119"/>
      <c r="M6" s="119"/>
      <c r="N6" s="119"/>
      <c r="O6" s="119"/>
    </row>
    <row r="7" spans="1:15" ht="12.75">
      <c r="A7" s="496" t="s">
        <v>7</v>
      </c>
      <c r="B7" s="497"/>
      <c r="C7" s="97">
        <f>+VN!C8</f>
        <v>2007</v>
      </c>
      <c r="D7" s="97">
        <f>+VN!D8</f>
        <v>2008</v>
      </c>
      <c r="E7" s="97">
        <f>+VN!E8</f>
        <v>2009</v>
      </c>
      <c r="F7" s="97">
        <f>+VN!F8</f>
        <v>2010</v>
      </c>
      <c r="G7" s="97">
        <f>+VN!G8</f>
        <v>2011</v>
      </c>
      <c r="H7" s="97">
        <f>+VN!H8</f>
        <v>2012</v>
      </c>
      <c r="I7" s="97">
        <f>+H7+1</f>
        <v>2013</v>
      </c>
      <c r="K7" s="377"/>
      <c r="L7" s="377" t="s">
        <v>3</v>
      </c>
      <c r="M7" s="377" t="s">
        <v>4</v>
      </c>
      <c r="N7" s="377"/>
      <c r="O7" s="119"/>
    </row>
    <row r="8" spans="1:15" ht="12.75">
      <c r="A8" s="197"/>
      <c r="B8" s="197"/>
      <c r="C8" s="378"/>
      <c r="D8" s="378"/>
      <c r="E8" s="378"/>
      <c r="F8" s="378"/>
      <c r="G8" s="378"/>
      <c r="H8" s="378"/>
      <c r="I8" s="378"/>
      <c r="K8" s="377" t="s">
        <v>38</v>
      </c>
      <c r="L8" s="379">
        <f>+C14</f>
        <v>0</v>
      </c>
      <c r="M8" s="379">
        <f>+L8</f>
        <v>0</v>
      </c>
      <c r="N8" s="380" t="b">
        <f aca="true" t="shared" si="0" ref="N8:N13">IF(M8&gt;0,M8/L8*12)</f>
        <v>0</v>
      </c>
      <c r="O8" s="119"/>
    </row>
    <row r="9" spans="1:15" ht="12.75">
      <c r="A9" s="112" t="s">
        <v>222</v>
      </c>
      <c r="B9" s="122"/>
      <c r="C9" s="381">
        <f>+'Cash Flow'!C21</f>
        <v>0</v>
      </c>
      <c r="D9" s="381">
        <f>+'Cash Flow'!D21</f>
        <v>0</v>
      </c>
      <c r="E9" s="381">
        <f>+'Cash Flow'!E21</f>
        <v>0</v>
      </c>
      <c r="F9" s="381">
        <f>+'Cash Flow'!F21</f>
        <v>0</v>
      </c>
      <c r="G9" s="381">
        <f>+'Cash Flow'!G21</f>
        <v>0</v>
      </c>
      <c r="H9" s="381">
        <f>+'Cash Flow'!H21</f>
        <v>0</v>
      </c>
      <c r="I9" s="381">
        <f>(H9*(1+Pressupostos!B31))/(Avaliação!I11-Pressupostos!B31)</f>
        <v>0</v>
      </c>
      <c r="K9" s="377" t="s">
        <v>39</v>
      </c>
      <c r="L9" s="379">
        <f>+D14</f>
        <v>0</v>
      </c>
      <c r="M9" s="379">
        <f>+M8+L9</f>
        <v>0</v>
      </c>
      <c r="N9" s="382" t="b">
        <f t="shared" si="0"/>
        <v>0</v>
      </c>
      <c r="O9" s="119"/>
    </row>
    <row r="10" spans="1:15" ht="12.75">
      <c r="A10" s="383"/>
      <c r="B10" s="104"/>
      <c r="C10" s="384"/>
      <c r="D10" s="384"/>
      <c r="E10" s="384"/>
      <c r="F10" s="384"/>
      <c r="G10" s="384"/>
      <c r="H10" s="384"/>
      <c r="I10" s="384"/>
      <c r="K10" s="377" t="s">
        <v>40</v>
      </c>
      <c r="L10" s="379">
        <f>+E14</f>
        <v>0</v>
      </c>
      <c r="M10" s="379">
        <f>+M9+L10</f>
        <v>0</v>
      </c>
      <c r="N10" s="382" t="b">
        <f t="shared" si="0"/>
        <v>0</v>
      </c>
      <c r="O10" s="119"/>
    </row>
    <row r="11" spans="1:15" ht="12.75">
      <c r="A11" s="185" t="s">
        <v>223</v>
      </c>
      <c r="B11" s="385"/>
      <c r="C11" s="386" t="e">
        <f>+E54</f>
        <v>#DIV/0!</v>
      </c>
      <c r="D11" s="386">
        <f>+E59</f>
        <v>0.13090000000000002</v>
      </c>
      <c r="E11" s="386">
        <f>+E64</f>
        <v>0.131827</v>
      </c>
      <c r="F11" s="386">
        <f>+E69</f>
        <v>0.13278181</v>
      </c>
      <c r="G11" s="386">
        <f>+E74</f>
        <v>0.13376526430000002</v>
      </c>
      <c r="H11" s="386">
        <f>+E79</f>
        <v>0.13376526430000002</v>
      </c>
      <c r="I11" s="386">
        <f>+H11</f>
        <v>0.13376526430000002</v>
      </c>
      <c r="K11" s="377" t="s">
        <v>41</v>
      </c>
      <c r="L11" s="379">
        <f>+F14</f>
        <v>0</v>
      </c>
      <c r="M11" s="379">
        <f>+M10+L11</f>
        <v>0</v>
      </c>
      <c r="N11" s="387" t="b">
        <f t="shared" si="0"/>
        <v>0</v>
      </c>
      <c r="O11" s="119"/>
    </row>
    <row r="12" spans="1:15" ht="12.75">
      <c r="A12" s="283" t="s">
        <v>225</v>
      </c>
      <c r="B12" s="388"/>
      <c r="C12" s="389">
        <v>1</v>
      </c>
      <c r="D12" s="390">
        <f aca="true" t="shared" si="1" ref="D12:I12">+C12*(1+D11)</f>
        <v>1.1309</v>
      </c>
      <c r="E12" s="390">
        <f t="shared" si="1"/>
        <v>1.2799831543</v>
      </c>
      <c r="F12" s="390">
        <f t="shared" si="1"/>
        <v>1.4499416342974634</v>
      </c>
      <c r="G12" s="390">
        <f t="shared" si="1"/>
        <v>1.6438934602288375</v>
      </c>
      <c r="H12" s="390">
        <f t="shared" si="1"/>
        <v>1.8637893034173896</v>
      </c>
      <c r="I12" s="390">
        <f t="shared" si="1"/>
        <v>2.1130995721885295</v>
      </c>
      <c r="K12" s="377" t="s">
        <v>42</v>
      </c>
      <c r="L12" s="379">
        <f>+G14</f>
        <v>0</v>
      </c>
      <c r="M12" s="379">
        <f>+M11+L12</f>
        <v>0</v>
      </c>
      <c r="N12" s="387" t="b">
        <f t="shared" si="0"/>
        <v>0</v>
      </c>
      <c r="O12" s="119"/>
    </row>
    <row r="13" spans="1:15" ht="12.75">
      <c r="A13" s="101"/>
      <c r="B13" s="391"/>
      <c r="C13" s="391"/>
      <c r="D13" s="391"/>
      <c r="E13" s="391"/>
      <c r="F13" s="391"/>
      <c r="G13" s="391"/>
      <c r="H13" s="391"/>
      <c r="I13" s="391"/>
      <c r="K13" s="377" t="s">
        <v>43</v>
      </c>
      <c r="L13" s="379">
        <f>+H14</f>
        <v>0</v>
      </c>
      <c r="M13" s="379">
        <f>+M12+L13</f>
        <v>0</v>
      </c>
      <c r="N13" s="387" t="b">
        <f t="shared" si="0"/>
        <v>0</v>
      </c>
      <c r="O13" s="119"/>
    </row>
    <row r="14" spans="1:15" ht="12.75">
      <c r="A14" s="112" t="s">
        <v>224</v>
      </c>
      <c r="B14" s="122"/>
      <c r="C14" s="381">
        <f aca="true" t="shared" si="2" ref="C14:I14">+C9/C12</f>
        <v>0</v>
      </c>
      <c r="D14" s="381">
        <f t="shared" si="2"/>
        <v>0</v>
      </c>
      <c r="E14" s="381">
        <f t="shared" si="2"/>
        <v>0</v>
      </c>
      <c r="F14" s="381">
        <f t="shared" si="2"/>
        <v>0</v>
      </c>
      <c r="G14" s="381">
        <f t="shared" si="2"/>
        <v>0</v>
      </c>
      <c r="H14" s="381">
        <f t="shared" si="2"/>
        <v>0</v>
      </c>
      <c r="I14" s="381">
        <f t="shared" si="2"/>
        <v>0</v>
      </c>
      <c r="K14" s="119"/>
      <c r="L14" s="119"/>
      <c r="M14" s="119"/>
      <c r="N14" s="119"/>
      <c r="O14" s="119"/>
    </row>
    <row r="15" spans="1:15" ht="12.75">
      <c r="A15" s="101"/>
      <c r="B15" s="197"/>
      <c r="C15" s="392"/>
      <c r="D15" s="101"/>
      <c r="E15" s="101"/>
      <c r="F15" s="101"/>
      <c r="G15" s="378"/>
      <c r="H15" s="378"/>
      <c r="I15" s="378"/>
      <c r="K15" s="119"/>
      <c r="L15" s="119"/>
      <c r="M15" s="119"/>
      <c r="N15" s="119"/>
      <c r="O15" s="119"/>
    </row>
    <row r="16" spans="1:15" ht="12.75">
      <c r="A16" s="112"/>
      <c r="B16" s="122"/>
      <c r="C16" s="381">
        <f>+C14</f>
        <v>0</v>
      </c>
      <c r="D16" s="381">
        <f>+SUM($C$14:D14)</f>
        <v>0</v>
      </c>
      <c r="E16" s="381">
        <f>+SUM($C$14:E14)</f>
        <v>0</v>
      </c>
      <c r="F16" s="381">
        <f>+SUM($C$14:F14)</f>
        <v>0</v>
      </c>
      <c r="G16" s="381">
        <f>+SUM($C$14:G14)</f>
        <v>0</v>
      </c>
      <c r="H16" s="381">
        <f>+SUM($C$14:H14)</f>
        <v>0</v>
      </c>
      <c r="I16" s="381">
        <f>+SUM($C$14:I14)</f>
        <v>0</v>
      </c>
      <c r="K16" s="119"/>
      <c r="L16" s="119"/>
      <c r="M16" s="119"/>
      <c r="N16" s="119"/>
      <c r="O16" s="119"/>
    </row>
    <row r="17" spans="1:15" ht="12.75">
      <c r="A17" s="101"/>
      <c r="B17" s="197"/>
      <c r="C17" s="392"/>
      <c r="D17" s="101"/>
      <c r="E17" s="101"/>
      <c r="F17" s="101"/>
      <c r="G17" s="378"/>
      <c r="H17" s="378"/>
      <c r="I17" s="378"/>
      <c r="K17" s="119"/>
      <c r="L17" s="119"/>
      <c r="M17" s="119"/>
      <c r="N17" s="119"/>
      <c r="O17" s="119"/>
    </row>
    <row r="18" spans="1:15" ht="12.75">
      <c r="A18" s="112" t="s">
        <v>359</v>
      </c>
      <c r="B18" s="122"/>
      <c r="C18" s="381">
        <f>+I16</f>
        <v>0</v>
      </c>
      <c r="D18" s="393"/>
      <c r="E18" s="378"/>
      <c r="F18" s="394"/>
      <c r="G18" s="395"/>
      <c r="H18" s="393"/>
      <c r="I18" s="393"/>
      <c r="K18" s="119"/>
      <c r="L18" s="119"/>
      <c r="M18" s="119"/>
      <c r="N18" s="119"/>
      <c r="O18" s="119"/>
    </row>
    <row r="19" spans="1:15" ht="12.75">
      <c r="A19" s="101"/>
      <c r="B19" s="396"/>
      <c r="C19" s="378"/>
      <c r="D19" s="378"/>
      <c r="E19" s="378"/>
      <c r="F19" s="378"/>
      <c r="G19" s="378"/>
      <c r="H19" s="378"/>
      <c r="I19" s="378"/>
      <c r="K19" s="119"/>
      <c r="L19" s="119"/>
      <c r="M19" s="119"/>
      <c r="N19" s="119"/>
      <c r="O19" s="119"/>
    </row>
    <row r="20" spans="1:9" ht="12.75">
      <c r="A20" s="112"/>
      <c r="B20" s="122"/>
      <c r="C20" s="280" t="e">
        <f>+IRR(C14,0.1)</f>
        <v>#NUM!</v>
      </c>
      <c r="D20" s="280" t="e">
        <f>+IRR($C$14:D14,0.1)</f>
        <v>#NUM!</v>
      </c>
      <c r="E20" s="280" t="e">
        <f>+IRR($C$14:E14,0.1)</f>
        <v>#NUM!</v>
      </c>
      <c r="F20" s="280" t="e">
        <f>+IRR($C$14:F14,0.1)</f>
        <v>#NUM!</v>
      </c>
      <c r="G20" s="280" t="e">
        <f>+IRR($C$14:G14,0.1)</f>
        <v>#NUM!</v>
      </c>
      <c r="H20" s="280" t="e">
        <f>+IRR($C$14:H14,0.1)</f>
        <v>#NUM!</v>
      </c>
      <c r="I20" s="280" t="e">
        <f>+IRR($C$14:I14,0.1)</f>
        <v>#NUM!</v>
      </c>
    </row>
    <row r="21" spans="1:9" ht="12.75">
      <c r="A21" s="101"/>
      <c r="B21" s="396"/>
      <c r="C21" s="378"/>
      <c r="D21" s="378"/>
      <c r="E21" s="378"/>
      <c r="F21" s="378"/>
      <c r="G21" s="378"/>
      <c r="H21" s="378"/>
      <c r="I21" s="378"/>
    </row>
    <row r="22" spans="1:9" ht="12.75">
      <c r="A22" s="112" t="s">
        <v>1</v>
      </c>
      <c r="B22" s="122"/>
      <c r="C22" s="397" t="e">
        <f>+I20</f>
        <v>#NUM!</v>
      </c>
      <c r="D22" s="398"/>
      <c r="E22" s="398"/>
      <c r="F22" s="398"/>
      <c r="G22" s="398"/>
      <c r="H22" s="378"/>
      <c r="I22" s="378"/>
    </row>
    <row r="23" spans="1:9" ht="12.75">
      <c r="A23" s="101"/>
      <c r="B23" s="101"/>
      <c r="C23" s="101"/>
      <c r="D23" s="101"/>
      <c r="E23" s="101"/>
      <c r="F23" s="101"/>
      <c r="G23" s="101"/>
      <c r="H23" s="101"/>
      <c r="I23" s="101"/>
    </row>
    <row r="24" spans="1:9" ht="12.75">
      <c r="A24" s="112" t="s">
        <v>2</v>
      </c>
      <c r="B24" s="122"/>
      <c r="C24" s="381">
        <f>COUNTIF(N8:N13,"falso")</f>
        <v>6</v>
      </c>
      <c r="D24" s="399" t="s">
        <v>9</v>
      </c>
      <c r="E24" s="101"/>
      <c r="F24" s="101"/>
      <c r="G24" s="101"/>
      <c r="H24" s="101"/>
      <c r="I24" s="101"/>
    </row>
    <row r="25" spans="1:9" ht="12.7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9" ht="12.75">
      <c r="A26" s="101"/>
      <c r="B26" s="400"/>
      <c r="C26" s="101"/>
      <c r="D26" s="101"/>
      <c r="E26" s="101"/>
      <c r="F26" s="101"/>
      <c r="G26" s="101"/>
      <c r="H26" s="101"/>
      <c r="I26" s="101"/>
    </row>
    <row r="27" spans="1:9" ht="12.75">
      <c r="A27" s="496" t="s">
        <v>8</v>
      </c>
      <c r="B27" s="497"/>
      <c r="C27" s="97">
        <f aca="true" t="shared" si="3" ref="C27:I27">+C7</f>
        <v>2007</v>
      </c>
      <c r="D27" s="97">
        <f t="shared" si="3"/>
        <v>2008</v>
      </c>
      <c r="E27" s="97">
        <f t="shared" si="3"/>
        <v>2009</v>
      </c>
      <c r="F27" s="97">
        <f t="shared" si="3"/>
        <v>2010</v>
      </c>
      <c r="G27" s="97">
        <f t="shared" si="3"/>
        <v>2011</v>
      </c>
      <c r="H27" s="97">
        <f t="shared" si="3"/>
        <v>2012</v>
      </c>
      <c r="I27" s="97">
        <f t="shared" si="3"/>
        <v>2013</v>
      </c>
    </row>
    <row r="28" spans="1:9" ht="12.75">
      <c r="A28" s="101"/>
      <c r="B28" s="197"/>
      <c r="C28" s="378"/>
      <c r="D28" s="378"/>
      <c r="E28" s="378"/>
      <c r="F28" s="378"/>
      <c r="G28" s="378"/>
      <c r="H28" s="378"/>
      <c r="I28" s="378"/>
    </row>
    <row r="29" spans="1:14" ht="12.75">
      <c r="A29" s="112" t="s">
        <v>221</v>
      </c>
      <c r="B29" s="122"/>
      <c r="C29" s="381">
        <f>+'Cash Flow'!C21+PlanoFinanceiro!C11-PlanoFinanceiro!C23-'DR'!B27</f>
        <v>0</v>
      </c>
      <c r="D29" s="381">
        <f>+'Cash Flow'!D21+PlanoFinanceiro!D11-PlanoFinanceiro!D23-'DR'!C27</f>
        <v>0</v>
      </c>
      <c r="E29" s="381">
        <f>+'Cash Flow'!E21+PlanoFinanceiro!E11-PlanoFinanceiro!E23-'DR'!D27</f>
        <v>0</v>
      </c>
      <c r="F29" s="381">
        <f>+'Cash Flow'!F21+PlanoFinanceiro!F11-PlanoFinanceiro!F23-'DR'!E27</f>
        <v>-2.2737367544323207E-14</v>
      </c>
      <c r="G29" s="381">
        <f>+'Cash Flow'!G21+PlanoFinanceiro!G11-PlanoFinanceiro!G23-'DR'!F27</f>
        <v>-1.1368683772161604E-14</v>
      </c>
      <c r="H29" s="381">
        <f>+'Cash Flow'!H21+PlanoFinanceiro!H11-PlanoFinanceiro!H23-'DR'!G27</f>
        <v>-1.1368683772161604E-14</v>
      </c>
      <c r="I29" s="381">
        <f>+(H29*(1+Pressupostos!B31))/(I33-Pressupostos!B31)</f>
        <v>-1.3351924492962712E-13</v>
      </c>
      <c r="K29" s="119"/>
      <c r="L29" s="119"/>
      <c r="M29" s="119"/>
      <c r="N29" s="119"/>
    </row>
    <row r="30" spans="1:14" ht="12.75">
      <c r="A30" s="101"/>
      <c r="B30" s="391"/>
      <c r="C30" s="391"/>
      <c r="D30" s="391"/>
      <c r="E30" s="391"/>
      <c r="F30" s="391"/>
      <c r="G30" s="391"/>
      <c r="H30" s="391"/>
      <c r="I30" s="391"/>
      <c r="K30" s="377"/>
      <c r="L30" s="377" t="s">
        <v>3</v>
      </c>
      <c r="M30" s="377" t="s">
        <v>4</v>
      </c>
      <c r="N30" s="377"/>
    </row>
    <row r="31" spans="1:14" ht="12.75">
      <c r="A31" s="185" t="s">
        <v>190</v>
      </c>
      <c r="B31" s="385"/>
      <c r="C31" s="386">
        <f>+Pressupostos!B28</f>
        <v>0.03</v>
      </c>
      <c r="D31" s="386">
        <f>+C31*(1+VN!D9)</f>
        <v>0.0309</v>
      </c>
      <c r="E31" s="386">
        <f>+D31*(1+VN!E9)</f>
        <v>0.031827</v>
      </c>
      <c r="F31" s="386">
        <f>+E31*(1+VN!F9)</f>
        <v>0.03278181</v>
      </c>
      <c r="G31" s="386">
        <f>+F31*(1+VN!G9)</f>
        <v>0.0337652643</v>
      </c>
      <c r="H31" s="386">
        <f>+G31*(1+VN!H9)</f>
        <v>0.034778222229000004</v>
      </c>
      <c r="I31" s="386">
        <f>+H31*(1+VN!H9)</f>
        <v>0.03582156889587001</v>
      </c>
      <c r="K31" s="377" t="s">
        <v>38</v>
      </c>
      <c r="L31" s="379">
        <f>+C36</f>
        <v>0</v>
      </c>
      <c r="M31" s="379">
        <f>+L31</f>
        <v>0</v>
      </c>
      <c r="N31" s="380" t="b">
        <f aca="true" t="shared" si="4" ref="N31:N37">IF(M31&gt;0,M31/L31*12)</f>
        <v>0</v>
      </c>
    </row>
    <row r="32" spans="1:14" ht="12.75">
      <c r="A32" s="185" t="s">
        <v>191</v>
      </c>
      <c r="B32" s="385"/>
      <c r="C32" s="386">
        <f>+Pressupostos!B29</f>
        <v>0.1</v>
      </c>
      <c r="D32" s="386">
        <f aca="true" t="shared" si="5" ref="D32:I32">+C32</f>
        <v>0.1</v>
      </c>
      <c r="E32" s="386">
        <f t="shared" si="5"/>
        <v>0.1</v>
      </c>
      <c r="F32" s="386">
        <f t="shared" si="5"/>
        <v>0.1</v>
      </c>
      <c r="G32" s="386">
        <f t="shared" si="5"/>
        <v>0.1</v>
      </c>
      <c r="H32" s="386">
        <f t="shared" si="5"/>
        <v>0.1</v>
      </c>
      <c r="I32" s="386">
        <f t="shared" si="5"/>
        <v>0.1</v>
      </c>
      <c r="K32" s="377" t="s">
        <v>39</v>
      </c>
      <c r="L32" s="379">
        <f>+D36</f>
        <v>0</v>
      </c>
      <c r="M32" s="379">
        <f aca="true" t="shared" si="6" ref="M32:M37">+M31+L32</f>
        <v>0</v>
      </c>
      <c r="N32" s="401" t="b">
        <f t="shared" si="4"/>
        <v>0</v>
      </c>
    </row>
    <row r="33" spans="1:14" ht="12.75">
      <c r="A33" s="185" t="s">
        <v>218</v>
      </c>
      <c r="B33" s="385"/>
      <c r="C33" s="386">
        <f aca="true" t="shared" si="7" ref="C33:I33">+(1+C31)*(1+C32)-1</f>
        <v>0.13300000000000023</v>
      </c>
      <c r="D33" s="386">
        <f t="shared" si="7"/>
        <v>0.13399000000000005</v>
      </c>
      <c r="E33" s="386">
        <f t="shared" si="7"/>
        <v>0.13500970000000012</v>
      </c>
      <c r="F33" s="386">
        <f t="shared" si="7"/>
        <v>0.136059991</v>
      </c>
      <c r="G33" s="386">
        <f t="shared" si="7"/>
        <v>0.1371417907300001</v>
      </c>
      <c r="H33" s="386">
        <f t="shared" si="7"/>
        <v>0.1382560444519001</v>
      </c>
      <c r="I33" s="386">
        <f t="shared" si="7"/>
        <v>0.13940372578545723</v>
      </c>
      <c r="K33" s="377" t="s">
        <v>40</v>
      </c>
      <c r="L33" s="379">
        <f>+E36</f>
        <v>0</v>
      </c>
      <c r="M33" s="379">
        <f t="shared" si="6"/>
        <v>0</v>
      </c>
      <c r="N33" s="401" t="b">
        <f t="shared" si="4"/>
        <v>0</v>
      </c>
    </row>
    <row r="34" spans="1:14" ht="12.75">
      <c r="A34" s="185" t="s">
        <v>219</v>
      </c>
      <c r="B34" s="385"/>
      <c r="C34" s="389">
        <v>1</v>
      </c>
      <c r="D34" s="390">
        <f aca="true" t="shared" si="8" ref="D34:I34">+C34*(1+D33)</f>
        <v>1.13399</v>
      </c>
      <c r="E34" s="390">
        <f t="shared" si="8"/>
        <v>1.2870896497030002</v>
      </c>
      <c r="F34" s="390">
        <f t="shared" si="8"/>
        <v>1.4622110558577837</v>
      </c>
      <c r="G34" s="390">
        <f t="shared" si="8"/>
        <v>1.6627412984833243</v>
      </c>
      <c r="H34" s="390">
        <f t="shared" si="8"/>
        <v>1.8926253333584449</v>
      </c>
      <c r="I34" s="390">
        <f t="shared" si="8"/>
        <v>2.156464356344555</v>
      </c>
      <c r="K34" s="377" t="s">
        <v>41</v>
      </c>
      <c r="L34" s="379">
        <f>+F36</f>
        <v>-1.554999016950031E-14</v>
      </c>
      <c r="M34" s="379">
        <f t="shared" si="6"/>
        <v>-1.554999016950031E-14</v>
      </c>
      <c r="N34" s="387" t="b">
        <f t="shared" si="4"/>
        <v>0</v>
      </c>
    </row>
    <row r="35" spans="1:14" ht="12.75">
      <c r="A35" s="101"/>
      <c r="B35" s="391"/>
      <c r="C35" s="402"/>
      <c r="D35" s="403"/>
      <c r="E35" s="403"/>
      <c r="F35" s="403"/>
      <c r="G35" s="403"/>
      <c r="H35" s="403"/>
      <c r="I35" s="403"/>
      <c r="K35" s="377" t="s">
        <v>42</v>
      </c>
      <c r="L35" s="379">
        <f>+G36</f>
        <v>-6.837313647367507E-15</v>
      </c>
      <c r="M35" s="379">
        <f t="shared" si="6"/>
        <v>-2.2387303816867818E-14</v>
      </c>
      <c r="N35" s="387" t="b">
        <f>IF(M35&gt;0,M35/L35*12)</f>
        <v>0</v>
      </c>
    </row>
    <row r="36" spans="1:14" ht="12.75">
      <c r="A36" s="112" t="s">
        <v>220</v>
      </c>
      <c r="B36" s="122"/>
      <c r="C36" s="381">
        <f aca="true" t="shared" si="9" ref="C36:I36">+C29/C34</f>
        <v>0</v>
      </c>
      <c r="D36" s="381">
        <f t="shared" si="9"/>
        <v>0</v>
      </c>
      <c r="E36" s="381">
        <f t="shared" si="9"/>
        <v>0</v>
      </c>
      <c r="F36" s="381">
        <f t="shared" si="9"/>
        <v>-1.554999016950031E-14</v>
      </c>
      <c r="G36" s="381">
        <f t="shared" si="9"/>
        <v>-6.837313647367507E-15</v>
      </c>
      <c r="H36" s="381">
        <f t="shared" si="9"/>
        <v>-6.006832716324254E-15</v>
      </c>
      <c r="I36" s="381">
        <f t="shared" si="9"/>
        <v>-6.191581351057291E-14</v>
      </c>
      <c r="K36" s="377" t="s">
        <v>43</v>
      </c>
      <c r="L36" s="379">
        <f>+H36</f>
        <v>-6.006832716324254E-15</v>
      </c>
      <c r="M36" s="379">
        <f t="shared" si="6"/>
        <v>-2.839413653319207E-14</v>
      </c>
      <c r="N36" s="387" t="b">
        <f>IF(M36&gt;0,M36/L36*12)</f>
        <v>0</v>
      </c>
    </row>
    <row r="37" spans="1:14" ht="12.75">
      <c r="A37" s="383"/>
      <c r="B37" s="104"/>
      <c r="C37" s="384"/>
      <c r="D37" s="384"/>
      <c r="E37" s="384"/>
      <c r="F37" s="384"/>
      <c r="G37" s="384"/>
      <c r="H37" s="384"/>
      <c r="I37" s="384"/>
      <c r="K37" s="377" t="s">
        <v>235</v>
      </c>
      <c r="L37" s="379">
        <f>+I36</f>
        <v>-6.191581351057291E-14</v>
      </c>
      <c r="M37" s="379">
        <f t="shared" si="6"/>
        <v>-9.030995004376499E-14</v>
      </c>
      <c r="N37" s="387" t="b">
        <f t="shared" si="4"/>
        <v>0</v>
      </c>
    </row>
    <row r="38" spans="1:14" ht="12.75">
      <c r="A38" s="112"/>
      <c r="B38" s="122"/>
      <c r="C38" s="381">
        <f>+C36</f>
        <v>0</v>
      </c>
      <c r="D38" s="381">
        <f>+SUM($C$36:D36)</f>
        <v>0</v>
      </c>
      <c r="E38" s="381">
        <f>+SUM($C$36:E36)</f>
        <v>0</v>
      </c>
      <c r="F38" s="381">
        <f>+SUM($C$36:F36)</f>
        <v>-1.554999016950031E-14</v>
      </c>
      <c r="G38" s="381">
        <f>+SUM($C$36:G36)</f>
        <v>-2.2387303816867818E-14</v>
      </c>
      <c r="H38" s="381">
        <f>+SUM($C$36:H36)</f>
        <v>-2.839413653319207E-14</v>
      </c>
      <c r="I38" s="381">
        <f>+SUM($C$36:I36)</f>
        <v>-9.030995004376499E-14</v>
      </c>
      <c r="K38" s="119"/>
      <c r="L38" s="119"/>
      <c r="M38" s="119"/>
      <c r="N38" s="119"/>
    </row>
    <row r="39" spans="1:14" ht="12.75">
      <c r="A39" s="101"/>
      <c r="B39" s="197"/>
      <c r="C39" s="392"/>
      <c r="D39" s="101"/>
      <c r="E39" s="101"/>
      <c r="F39" s="101"/>
      <c r="G39" s="378"/>
      <c r="H39" s="378"/>
      <c r="I39" s="378"/>
      <c r="K39" s="119"/>
      <c r="L39" s="119"/>
      <c r="M39" s="119"/>
      <c r="N39" s="119"/>
    </row>
    <row r="40" spans="1:14" ht="12.75">
      <c r="A40" s="112" t="s">
        <v>359</v>
      </c>
      <c r="B40" s="122"/>
      <c r="C40" s="381">
        <f>I38</f>
        <v>-9.030995004376499E-14</v>
      </c>
      <c r="D40" s="393"/>
      <c r="E40" s="378"/>
      <c r="F40" s="394"/>
      <c r="G40" s="395"/>
      <c r="H40" s="393"/>
      <c r="I40" s="393"/>
      <c r="K40" s="119"/>
      <c r="L40" s="119"/>
      <c r="M40" s="119"/>
      <c r="N40" s="119"/>
    </row>
    <row r="41" spans="1:14" ht="12.75">
      <c r="A41" s="101"/>
      <c r="B41" s="396"/>
      <c r="C41" s="378"/>
      <c r="D41" s="378"/>
      <c r="E41" s="378"/>
      <c r="F41" s="378"/>
      <c r="G41" s="378"/>
      <c r="H41" s="378"/>
      <c r="I41" s="378"/>
      <c r="J41" s="404"/>
      <c r="K41" s="119"/>
      <c r="L41" s="119"/>
      <c r="M41" s="119"/>
      <c r="N41" s="405"/>
    </row>
    <row r="42" spans="1:14" ht="12.75">
      <c r="A42" s="112"/>
      <c r="B42" s="122"/>
      <c r="C42" s="280" t="e">
        <f>+IRR(C36,0.1)</f>
        <v>#NUM!</v>
      </c>
      <c r="D42" s="280" t="e">
        <f>+IRR($C$36:D36,0.1)</f>
        <v>#NUM!</v>
      </c>
      <c r="E42" s="280" t="e">
        <f>+IRR($C$36:E36,0.1)</f>
        <v>#NUM!</v>
      </c>
      <c r="F42" s="280" t="e">
        <f>+IRR($C$36:F36,0.1)</f>
        <v>#NUM!</v>
      </c>
      <c r="G42" s="280" t="e">
        <f>+IRR($C$36:G36,0.1)</f>
        <v>#NUM!</v>
      </c>
      <c r="H42" s="280" t="e">
        <f>+IRR($C$36:H36,0.1)</f>
        <v>#NUM!</v>
      </c>
      <c r="I42" s="280" t="e">
        <f>+IRR($C$36:I36,0.1)</f>
        <v>#NUM!</v>
      </c>
      <c r="J42" s="404"/>
      <c r="K42" s="119"/>
      <c r="L42" s="119"/>
      <c r="M42" s="119"/>
      <c r="N42" s="405"/>
    </row>
    <row r="43" spans="1:14" ht="12.75">
      <c r="A43" s="101"/>
      <c r="B43" s="396"/>
      <c r="C43" s="378"/>
      <c r="D43" s="378"/>
      <c r="E43" s="378"/>
      <c r="F43" s="378"/>
      <c r="G43" s="378"/>
      <c r="H43" s="378"/>
      <c r="I43" s="378"/>
      <c r="J43" s="404"/>
      <c r="K43" s="119"/>
      <c r="L43" s="119"/>
      <c r="M43" s="119"/>
      <c r="N43" s="405"/>
    </row>
    <row r="44" spans="1:14" ht="12.75">
      <c r="A44" s="112" t="s">
        <v>1</v>
      </c>
      <c r="B44" s="122"/>
      <c r="C44" s="397" t="e">
        <f>+I42</f>
        <v>#NUM!</v>
      </c>
      <c r="D44" s="398"/>
      <c r="E44" s="398"/>
      <c r="F44" s="398"/>
      <c r="G44" s="398"/>
      <c r="H44" s="378"/>
      <c r="I44" s="378"/>
      <c r="J44" s="404"/>
      <c r="K44" s="119"/>
      <c r="L44" s="119"/>
      <c r="M44" s="119"/>
      <c r="N44" s="405"/>
    </row>
    <row r="45" spans="1:14" ht="12.75">
      <c r="A45" s="101"/>
      <c r="B45" s="197"/>
      <c r="C45" s="398"/>
      <c r="D45" s="398"/>
      <c r="E45" s="398"/>
      <c r="F45" s="398"/>
      <c r="G45" s="398"/>
      <c r="H45" s="378"/>
      <c r="I45" s="378"/>
      <c r="J45" s="404"/>
      <c r="K45" s="119"/>
      <c r="L45" s="119"/>
      <c r="M45" s="119"/>
      <c r="N45" s="405"/>
    </row>
    <row r="46" spans="1:14" ht="12.75">
      <c r="A46" s="112" t="s">
        <v>2</v>
      </c>
      <c r="B46" s="122"/>
      <c r="C46" s="381">
        <f>COUNTIF(N31:N36,"falso")</f>
        <v>6</v>
      </c>
      <c r="D46" s="399" t="s">
        <v>9</v>
      </c>
      <c r="E46" s="398"/>
      <c r="F46" s="398"/>
      <c r="G46" s="398"/>
      <c r="H46" s="378"/>
      <c r="I46" s="378"/>
      <c r="J46" s="404"/>
      <c r="K46" s="119"/>
      <c r="L46" s="119"/>
      <c r="M46" s="119"/>
      <c r="N46" s="405"/>
    </row>
    <row r="47" spans="1:14" ht="12.75">
      <c r="A47" s="277"/>
      <c r="B47" s="101"/>
      <c r="C47" s="101"/>
      <c r="D47" s="101"/>
      <c r="E47" s="101"/>
      <c r="F47" s="101"/>
      <c r="G47" s="101"/>
      <c r="H47" s="378"/>
      <c r="I47" s="378"/>
      <c r="J47" s="404"/>
      <c r="K47" s="405"/>
      <c r="L47" s="405"/>
      <c r="M47" s="405"/>
      <c r="N47" s="405"/>
    </row>
    <row r="48" spans="1:9" ht="12.75">
      <c r="A48" s="101"/>
      <c r="B48" s="400"/>
      <c r="C48" s="101"/>
      <c r="D48" s="101"/>
      <c r="E48" s="101"/>
      <c r="F48" s="101"/>
      <c r="G48" s="101"/>
      <c r="H48" s="101"/>
      <c r="I48" s="101"/>
    </row>
    <row r="49" spans="1:9" ht="12.75">
      <c r="A49" s="277" t="s">
        <v>223</v>
      </c>
      <c r="B49" s="406"/>
      <c r="C49" s="197"/>
      <c r="D49" s="101"/>
      <c r="E49" s="101"/>
      <c r="F49" s="101"/>
      <c r="G49" s="101"/>
      <c r="H49" s="101"/>
      <c r="I49" s="101"/>
    </row>
    <row r="50" spans="1:9" ht="12.75">
      <c r="A50" s="101"/>
      <c r="B50" s="104" t="s">
        <v>226</v>
      </c>
      <c r="C50" s="104"/>
      <c r="D50" s="101"/>
      <c r="E50" s="101"/>
      <c r="F50" s="101"/>
      <c r="G50" s="101"/>
      <c r="H50" s="101"/>
      <c r="I50" s="101"/>
    </row>
    <row r="51" spans="1:9" ht="12.75">
      <c r="A51" s="407" t="s">
        <v>38</v>
      </c>
      <c r="B51" s="408" t="s">
        <v>38</v>
      </c>
      <c r="C51" s="408"/>
      <c r="D51" s="407" t="s">
        <v>12</v>
      </c>
      <c r="E51" s="101" t="s">
        <v>227</v>
      </c>
      <c r="F51" s="101"/>
      <c r="G51" s="101"/>
      <c r="H51" s="101"/>
      <c r="I51" s="101"/>
    </row>
    <row r="52" spans="1:9" ht="13.5" customHeight="1">
      <c r="A52" s="101" t="s">
        <v>11</v>
      </c>
      <c r="B52" s="214">
        <f>+SUM(Balanço!C37:C40)</f>
        <v>0</v>
      </c>
      <c r="C52" s="409" t="e">
        <f>+B52/B54</f>
        <v>#DIV/0!</v>
      </c>
      <c r="D52" s="410">
        <f>+Pressupostos!B26</f>
        <v>0.05</v>
      </c>
      <c r="E52" s="275" t="e">
        <f>D52*(1-Pressupostos!$B$21)*C52</f>
        <v>#DIV/0!</v>
      </c>
      <c r="F52" s="101"/>
      <c r="G52" s="101"/>
      <c r="H52" s="101"/>
      <c r="I52" s="101"/>
    </row>
    <row r="53" spans="1:9" ht="12.75">
      <c r="A53" s="101" t="s">
        <v>360</v>
      </c>
      <c r="B53" s="291">
        <f>+Balanço!C32</f>
        <v>0</v>
      </c>
      <c r="C53" s="409" t="e">
        <f>+B53/B54</f>
        <v>#DIV/0!</v>
      </c>
      <c r="D53" s="410">
        <f>C31+(Pressupostos!$B$30*Pressupostos!$B$29)</f>
        <v>0.13</v>
      </c>
      <c r="E53" s="275" t="e">
        <f>+C53*D53</f>
        <v>#DIV/0!</v>
      </c>
      <c r="F53" s="101"/>
      <c r="G53" s="101"/>
      <c r="H53" s="101"/>
      <c r="I53" s="101"/>
    </row>
    <row r="54" spans="1:9" ht="12.75">
      <c r="A54" s="101"/>
      <c r="B54" s="411">
        <f>SUM(B52:B53)</f>
        <v>0</v>
      </c>
      <c r="C54" s="412" t="e">
        <f>SUM(C52:C53)</f>
        <v>#DIV/0!</v>
      </c>
      <c r="D54" s="101"/>
      <c r="E54" s="413" t="e">
        <f>SUM(E52:E53)</f>
        <v>#DIV/0!</v>
      </c>
      <c r="F54" s="101"/>
      <c r="G54" s="101"/>
      <c r="H54" s="101"/>
      <c r="I54" s="101"/>
    </row>
    <row r="55" spans="1:9" ht="12.75">
      <c r="A55" s="101"/>
      <c r="B55" s="101"/>
      <c r="C55" s="101"/>
      <c r="D55" s="101"/>
      <c r="E55" s="101"/>
      <c r="F55" s="101"/>
      <c r="G55" s="101"/>
      <c r="H55" s="101"/>
      <c r="I55" s="101"/>
    </row>
    <row r="56" spans="1:9" ht="12.75">
      <c r="A56" s="407" t="s">
        <v>39</v>
      </c>
      <c r="B56" s="408" t="s">
        <v>39</v>
      </c>
      <c r="C56" s="408"/>
      <c r="D56" s="407" t="s">
        <v>12</v>
      </c>
      <c r="E56" s="101" t="s">
        <v>227</v>
      </c>
      <c r="F56" s="101"/>
      <c r="G56" s="101"/>
      <c r="H56" s="101"/>
      <c r="I56" s="101"/>
    </row>
    <row r="57" spans="1:9" ht="12.75">
      <c r="A57" s="101" t="s">
        <v>11</v>
      </c>
      <c r="B57" s="214">
        <f>SUM(Balanço!D37:D40)</f>
        <v>0</v>
      </c>
      <c r="C57" s="409">
        <f>+B57/B59</f>
        <v>0</v>
      </c>
      <c r="D57" s="410">
        <f>+Pressupostos!B26</f>
        <v>0.05</v>
      </c>
      <c r="E57" s="275">
        <f>D57*(1-Pressupostos!$B$21)*C57</f>
        <v>0</v>
      </c>
      <c r="F57" s="101"/>
      <c r="G57" s="101"/>
      <c r="H57" s="101"/>
      <c r="I57" s="101"/>
    </row>
    <row r="58" spans="1:9" ht="12.75">
      <c r="A58" s="101" t="s">
        <v>360</v>
      </c>
      <c r="B58" s="291">
        <f>+Balanço!D32</f>
        <v>6.8212102632969615E-15</v>
      </c>
      <c r="C58" s="409">
        <f>+B58/B59</f>
        <v>1</v>
      </c>
      <c r="D58" s="410">
        <f>D31+(Pressupostos!$B$30*Pressupostos!$B$29)</f>
        <v>0.13090000000000002</v>
      </c>
      <c r="E58" s="275">
        <f>+C58*D58</f>
        <v>0.13090000000000002</v>
      </c>
      <c r="F58" s="101"/>
      <c r="G58" s="101"/>
      <c r="H58" s="101"/>
      <c r="I58" s="101"/>
    </row>
    <row r="59" spans="1:9" ht="12.75">
      <c r="A59" s="101"/>
      <c r="B59" s="411">
        <f>SUM(B57:B58)</f>
        <v>6.8212102632969615E-15</v>
      </c>
      <c r="C59" s="412">
        <f>SUM(C57:C58)</f>
        <v>1</v>
      </c>
      <c r="D59" s="101"/>
      <c r="E59" s="413">
        <f>SUM(E57:E58)</f>
        <v>0.13090000000000002</v>
      </c>
      <c r="F59" s="101"/>
      <c r="G59" s="101"/>
      <c r="H59" s="101"/>
      <c r="I59" s="101"/>
    </row>
    <row r="60" spans="1:9" ht="12.75">
      <c r="A60" s="101"/>
      <c r="B60" s="101"/>
      <c r="C60" s="101"/>
      <c r="D60" s="101"/>
      <c r="E60" s="101"/>
      <c r="F60" s="101"/>
      <c r="G60" s="101"/>
      <c r="H60" s="101"/>
      <c r="I60" s="101"/>
    </row>
    <row r="61" spans="1:9" ht="12.75">
      <c r="A61" s="407" t="s">
        <v>40</v>
      </c>
      <c r="B61" s="408" t="s">
        <v>39</v>
      </c>
      <c r="C61" s="408"/>
      <c r="D61" s="407" t="s">
        <v>12</v>
      </c>
      <c r="E61" s="101" t="s">
        <v>227</v>
      </c>
      <c r="F61" s="101"/>
      <c r="G61" s="101"/>
      <c r="H61" s="101"/>
      <c r="I61" s="101"/>
    </row>
    <row r="62" spans="1:9" ht="12.75">
      <c r="A62" s="101" t="s">
        <v>11</v>
      </c>
      <c r="B62" s="214">
        <f>+SUM(Balanço!E37:E40)</f>
        <v>0</v>
      </c>
      <c r="C62" s="409">
        <f>+B62/B64</f>
        <v>0</v>
      </c>
      <c r="D62" s="410">
        <f>+D57</f>
        <v>0.05</v>
      </c>
      <c r="E62" s="275">
        <f>D62*(1-Pressupostos!$B$21)*C62</f>
        <v>0</v>
      </c>
      <c r="F62" s="101"/>
      <c r="G62" s="101"/>
      <c r="H62" s="101"/>
      <c r="I62" s="101"/>
    </row>
    <row r="63" spans="1:9" ht="12.75">
      <c r="A63" s="101" t="s">
        <v>360</v>
      </c>
      <c r="B63" s="291">
        <f>+Balanço!E32</f>
        <v>6.8212102632969615E-15</v>
      </c>
      <c r="C63" s="409">
        <f>+B63/B64</f>
        <v>1</v>
      </c>
      <c r="D63" s="410">
        <f>E31+(Pressupostos!$B$30*Pressupostos!$B$29)</f>
        <v>0.131827</v>
      </c>
      <c r="E63" s="275">
        <f>+C63*D63</f>
        <v>0.131827</v>
      </c>
      <c r="F63" s="101"/>
      <c r="G63" s="101"/>
      <c r="H63" s="101"/>
      <c r="I63" s="101"/>
    </row>
    <row r="64" spans="1:9" ht="12.75">
      <c r="A64" s="101"/>
      <c r="B64" s="411">
        <f>SUM(B62:B63)</f>
        <v>6.8212102632969615E-15</v>
      </c>
      <c r="C64" s="412">
        <f>SUM(C62:C63)</f>
        <v>1</v>
      </c>
      <c r="D64" s="101"/>
      <c r="E64" s="413">
        <f>SUM(E62:E63)</f>
        <v>0.131827</v>
      </c>
      <c r="F64" s="101"/>
      <c r="G64" s="101"/>
      <c r="H64" s="101"/>
      <c r="I64" s="101"/>
    </row>
    <row r="65" spans="1:9" ht="12.7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12.75">
      <c r="A66" s="407" t="s">
        <v>41</v>
      </c>
      <c r="B66" s="408" t="s">
        <v>39</v>
      </c>
      <c r="C66" s="408"/>
      <c r="D66" s="407" t="s">
        <v>12</v>
      </c>
      <c r="E66" s="101" t="s">
        <v>227</v>
      </c>
      <c r="F66" s="101"/>
      <c r="G66" s="101"/>
      <c r="H66" s="101"/>
      <c r="I66" s="101"/>
    </row>
    <row r="67" spans="1:9" ht="12.75">
      <c r="A67" s="101" t="s">
        <v>11</v>
      </c>
      <c r="B67" s="214">
        <f>+SUM(Balanço!F37:F40)</f>
        <v>0</v>
      </c>
      <c r="C67" s="409">
        <f>+B67/B69</f>
        <v>0</v>
      </c>
      <c r="D67" s="410">
        <f>+D62</f>
        <v>0.05</v>
      </c>
      <c r="E67" s="275">
        <f>D67*(1-Pressupostos!$B$21)*C67</f>
        <v>0</v>
      </c>
      <c r="F67" s="101"/>
      <c r="G67" s="101"/>
      <c r="H67" s="101"/>
      <c r="I67" s="101"/>
    </row>
    <row r="68" spans="1:9" ht="12.75">
      <c r="A68" s="101" t="s">
        <v>360</v>
      </c>
      <c r="B68" s="291">
        <f>+Balanço!F32</f>
        <v>-1.5916157281026246E-14</v>
      </c>
      <c r="C68" s="409">
        <f>+B68/B69</f>
        <v>1</v>
      </c>
      <c r="D68" s="410">
        <f>F31+(Pressupostos!$B$30*Pressupostos!$B$29)</f>
        <v>0.13278181</v>
      </c>
      <c r="E68" s="275">
        <f>+C68*D68</f>
        <v>0.13278181</v>
      </c>
      <c r="F68" s="101"/>
      <c r="G68" s="101"/>
      <c r="H68" s="101"/>
      <c r="I68" s="101"/>
    </row>
    <row r="69" spans="1:9" ht="12.75">
      <c r="A69" s="101"/>
      <c r="B69" s="411">
        <f>SUM(B67:B68)</f>
        <v>-1.5916157281026246E-14</v>
      </c>
      <c r="C69" s="412">
        <f>SUM(C67:C68)</f>
        <v>1</v>
      </c>
      <c r="D69" s="101"/>
      <c r="E69" s="413">
        <f>SUM(E67:E68)</f>
        <v>0.13278181</v>
      </c>
      <c r="F69" s="101"/>
      <c r="G69" s="101"/>
      <c r="H69" s="101"/>
      <c r="I69" s="101"/>
    </row>
    <row r="70" spans="1:9" ht="12.75">
      <c r="A70" s="101"/>
      <c r="B70" s="101"/>
      <c r="C70" s="101"/>
      <c r="D70" s="101"/>
      <c r="E70" s="101"/>
      <c r="F70" s="101"/>
      <c r="G70" s="101"/>
      <c r="H70" s="101"/>
      <c r="I70" s="101"/>
    </row>
    <row r="71" spans="1:9" ht="12.75">
      <c r="A71" s="407" t="s">
        <v>42</v>
      </c>
      <c r="B71" s="408" t="s">
        <v>39</v>
      </c>
      <c r="C71" s="408"/>
      <c r="D71" s="407" t="s">
        <v>12</v>
      </c>
      <c r="E71" s="101" t="s">
        <v>227</v>
      </c>
      <c r="F71" s="101"/>
      <c r="G71" s="101"/>
      <c r="H71" s="101"/>
      <c r="I71" s="101"/>
    </row>
    <row r="72" spans="1:9" ht="12.75">
      <c r="A72" s="101" t="s">
        <v>11</v>
      </c>
      <c r="B72" s="214">
        <f>+SUM(Balanço!G37:G40)</f>
        <v>0</v>
      </c>
      <c r="C72" s="409">
        <f>+B72/B74</f>
        <v>0</v>
      </c>
      <c r="D72" s="410">
        <f>+D67</f>
        <v>0.05</v>
      </c>
      <c r="E72" s="275">
        <f>D72*(1-Pressupostos!$B$21)*C72</f>
        <v>0</v>
      </c>
      <c r="F72" s="101"/>
      <c r="G72" s="101"/>
      <c r="H72" s="101"/>
      <c r="I72" s="101"/>
    </row>
    <row r="73" spans="1:9" ht="12.75">
      <c r="A73" s="101" t="s">
        <v>360</v>
      </c>
      <c r="B73" s="291">
        <f>+Balanço!G32</f>
        <v>-2.728484105318785E-14</v>
      </c>
      <c r="C73" s="409">
        <f>+B73/B74</f>
        <v>1</v>
      </c>
      <c r="D73" s="410">
        <f>G31+(Pressupostos!$B$30*Pressupostos!$B$29)</f>
        <v>0.13376526430000002</v>
      </c>
      <c r="E73" s="275">
        <f>+C73*D73</f>
        <v>0.13376526430000002</v>
      </c>
      <c r="F73" s="101"/>
      <c r="G73" s="101"/>
      <c r="H73" s="101"/>
      <c r="I73" s="101"/>
    </row>
    <row r="74" spans="1:9" ht="12.75">
      <c r="A74" s="101"/>
      <c r="B74" s="411">
        <f>SUM(B72:B73)</f>
        <v>-2.728484105318785E-14</v>
      </c>
      <c r="C74" s="412">
        <f>SUM(C72:C73)</f>
        <v>1</v>
      </c>
      <c r="D74" s="101"/>
      <c r="E74" s="413">
        <f>SUM(E72:E73)</f>
        <v>0.13376526430000002</v>
      </c>
      <c r="F74" s="101"/>
      <c r="G74" s="101"/>
      <c r="H74" s="101"/>
      <c r="I74" s="101"/>
    </row>
    <row r="75" spans="1:9" ht="12.75">
      <c r="A75" s="101"/>
      <c r="B75" s="101"/>
      <c r="C75" s="101"/>
      <c r="D75" s="101"/>
      <c r="E75" s="101"/>
      <c r="F75" s="101"/>
      <c r="G75" s="101"/>
      <c r="H75" s="101"/>
      <c r="I75" s="101"/>
    </row>
    <row r="76" spans="1:9" ht="12.75">
      <c r="A76" s="407" t="s">
        <v>43</v>
      </c>
      <c r="B76" s="408" t="s">
        <v>39</v>
      </c>
      <c r="C76" s="408"/>
      <c r="D76" s="407" t="s">
        <v>12</v>
      </c>
      <c r="E76" s="101" t="s">
        <v>227</v>
      </c>
      <c r="F76" s="101"/>
      <c r="G76" s="101"/>
      <c r="H76" s="101"/>
      <c r="I76" s="101"/>
    </row>
    <row r="77" spans="1:9" ht="12.75">
      <c r="A77" s="101" t="s">
        <v>11</v>
      </c>
      <c r="B77" s="214">
        <f>+SUM(Balanço!H37:H40)</f>
        <v>0</v>
      </c>
      <c r="C77" s="409">
        <f>+B77/B79</f>
        <v>0</v>
      </c>
      <c r="D77" s="410">
        <f>+D72</f>
        <v>0.05</v>
      </c>
      <c r="E77" s="275">
        <f>D77*(1-Pressupostos!$B$21)*C77</f>
        <v>0</v>
      </c>
      <c r="F77" s="101"/>
      <c r="G77" s="101"/>
      <c r="H77" s="101"/>
      <c r="I77" s="101"/>
    </row>
    <row r="78" spans="1:9" ht="12.75">
      <c r="A78" s="101" t="s">
        <v>360</v>
      </c>
      <c r="B78" s="291">
        <f>+Balanço!H32</f>
        <v>-3.865352482534945E-14</v>
      </c>
      <c r="C78" s="409">
        <f>+B78/B79</f>
        <v>1</v>
      </c>
      <c r="D78" s="410">
        <f>G31+(Pressupostos!$B$30*Pressupostos!$B$29)</f>
        <v>0.13376526430000002</v>
      </c>
      <c r="E78" s="275">
        <f>+C78*D78</f>
        <v>0.13376526430000002</v>
      </c>
      <c r="F78" s="101"/>
      <c r="G78" s="101"/>
      <c r="H78" s="101"/>
      <c r="I78" s="101"/>
    </row>
    <row r="79" spans="1:9" ht="12.75">
      <c r="A79" s="101"/>
      <c r="B79" s="411">
        <f>SUM(B77:B78)</f>
        <v>-3.865352482534945E-14</v>
      </c>
      <c r="C79" s="412">
        <f>SUM(C77:C78)</f>
        <v>1</v>
      </c>
      <c r="D79" s="101"/>
      <c r="E79" s="413">
        <f>SUM(E77:E78)</f>
        <v>0.13376526430000002</v>
      </c>
      <c r="F79" s="101"/>
      <c r="G79" s="101"/>
      <c r="H79" s="101"/>
      <c r="I79" s="101"/>
    </row>
    <row r="80" spans="1:9" ht="12.75">
      <c r="A80" s="101"/>
      <c r="B80" s="101"/>
      <c r="C80" s="101"/>
      <c r="D80" s="101"/>
      <c r="E80" s="101"/>
      <c r="F80" s="101"/>
      <c r="G80" s="101"/>
      <c r="H80" s="101"/>
      <c r="I80" s="101"/>
    </row>
  </sheetData>
  <sheetProtection password="8618" sheet="1" objects="1" scenarios="1"/>
  <mergeCells count="3">
    <mergeCell ref="A7:B7"/>
    <mergeCell ref="A27:B27"/>
    <mergeCell ref="A4:I4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workbookViewId="0" topLeftCell="A68">
      <selection activeCell="E90" sqref="E90"/>
    </sheetView>
  </sheetViews>
  <sheetFormatPr defaultColWidth="9.140625" defaultRowHeight="12.75"/>
  <cols>
    <col min="1" max="1" width="42.28125" style="111" customWidth="1"/>
    <col min="2" max="2" width="13.7109375" style="111" bestFit="1" customWidth="1"/>
    <col min="3" max="10" width="11.421875" style="111" customWidth="1"/>
    <col min="11" max="16384" width="8.7109375" style="111" customWidth="1"/>
  </cols>
  <sheetData>
    <row r="1" spans="1:8" ht="12.75">
      <c r="A1" s="101"/>
      <c r="B1" s="101"/>
      <c r="C1" s="331"/>
      <c r="D1" s="331"/>
      <c r="E1" s="331"/>
      <c r="F1" s="331"/>
      <c r="G1" s="332" t="s">
        <v>120</v>
      </c>
      <c r="H1" s="414" t="str">
        <f>+Pressupostos!E1</f>
        <v>XPTO, Lda</v>
      </c>
    </row>
    <row r="2" spans="1:8" s="336" customFormat="1" ht="12.75">
      <c r="A2" s="334"/>
      <c r="B2" s="334"/>
      <c r="C2" s="334"/>
      <c r="D2" s="334"/>
      <c r="E2" s="90"/>
      <c r="F2" s="90"/>
      <c r="G2" s="90"/>
      <c r="H2" s="335"/>
    </row>
    <row r="3" spans="1:8" s="336" customFormat="1" ht="12.75">
      <c r="A3" s="334"/>
      <c r="B3" s="334"/>
      <c r="C3" s="334"/>
      <c r="D3" s="334"/>
      <c r="E3" s="90"/>
      <c r="F3" s="90"/>
      <c r="G3" s="90"/>
      <c r="H3" s="335"/>
    </row>
    <row r="4" spans="1:8" ht="15.75">
      <c r="A4" s="458" t="s">
        <v>254</v>
      </c>
      <c r="B4" s="458"/>
      <c r="C4" s="458"/>
      <c r="D4" s="458"/>
      <c r="E4" s="458"/>
      <c r="F4" s="458"/>
      <c r="G4" s="458"/>
      <c r="H4" s="458"/>
    </row>
    <row r="5" spans="1:8" ht="12.75">
      <c r="A5" s="101"/>
      <c r="B5" s="197"/>
      <c r="C5" s="101"/>
      <c r="D5" s="101"/>
      <c r="E5" s="101"/>
      <c r="F5" s="101"/>
      <c r="G5" s="101"/>
      <c r="H5" s="101"/>
    </row>
    <row r="6" spans="1:8" ht="12.75">
      <c r="A6" s="415" t="s">
        <v>275</v>
      </c>
      <c r="B6" s="197"/>
      <c r="C6" s="101"/>
      <c r="D6" s="101"/>
      <c r="E6" s="101"/>
      <c r="F6" s="101"/>
      <c r="G6" s="101"/>
      <c r="H6" s="101"/>
    </row>
    <row r="7" spans="1:8" ht="12.75">
      <c r="A7" s="416" t="s">
        <v>283</v>
      </c>
      <c r="B7" s="98" t="s">
        <v>284</v>
      </c>
      <c r="C7" s="98" t="s">
        <v>143</v>
      </c>
      <c r="D7" s="98" t="s">
        <v>144</v>
      </c>
      <c r="E7" s="98" t="s">
        <v>145</v>
      </c>
      <c r="F7" s="98" t="s">
        <v>146</v>
      </c>
      <c r="G7" s="101"/>
      <c r="H7" s="101"/>
    </row>
    <row r="8" spans="1:8" ht="12.75">
      <c r="A8" s="75"/>
      <c r="B8" s="76"/>
      <c r="C8" s="76"/>
      <c r="D8" s="76"/>
      <c r="E8" s="76"/>
      <c r="F8" s="76"/>
      <c r="G8" s="101"/>
      <c r="H8" s="101"/>
    </row>
    <row r="9" spans="1:8" ht="12.75">
      <c r="A9" s="77"/>
      <c r="B9" s="76"/>
      <c r="C9" s="76"/>
      <c r="D9" s="76"/>
      <c r="E9" s="76"/>
      <c r="F9" s="76"/>
      <c r="G9" s="101"/>
      <c r="H9" s="101"/>
    </row>
    <row r="10" spans="1:8" ht="12.75">
      <c r="A10" s="78"/>
      <c r="B10" s="63"/>
      <c r="C10" s="63"/>
      <c r="D10" s="63"/>
      <c r="E10" s="63"/>
      <c r="F10" s="63"/>
      <c r="G10" s="101"/>
      <c r="H10" s="101"/>
    </row>
    <row r="11" spans="1:8" ht="12.75">
      <c r="A11" s="78"/>
      <c r="B11" s="63"/>
      <c r="C11" s="63"/>
      <c r="D11" s="63"/>
      <c r="E11" s="63"/>
      <c r="F11" s="63"/>
      <c r="G11" s="291"/>
      <c r="H11" s="291"/>
    </row>
    <row r="12" spans="1:8" ht="12.75">
      <c r="A12" s="78"/>
      <c r="B12" s="63"/>
      <c r="C12" s="63"/>
      <c r="D12" s="63"/>
      <c r="E12" s="63"/>
      <c r="F12" s="63"/>
      <c r="G12" s="291"/>
      <c r="H12" s="291"/>
    </row>
    <row r="13" spans="1:8" ht="12.75">
      <c r="A13" s="77"/>
      <c r="B13" s="63"/>
      <c r="C13" s="63"/>
      <c r="D13" s="63"/>
      <c r="E13" s="63"/>
      <c r="F13" s="63"/>
      <c r="G13" s="291"/>
      <c r="H13" s="291"/>
    </row>
    <row r="14" spans="1:8" ht="12.75">
      <c r="A14" s="77"/>
      <c r="B14" s="63"/>
      <c r="C14" s="63"/>
      <c r="D14" s="63"/>
      <c r="E14" s="63"/>
      <c r="F14" s="63"/>
      <c r="G14" s="291"/>
      <c r="H14" s="291"/>
    </row>
    <row r="15" spans="1:8" ht="12.75">
      <c r="A15" s="78"/>
      <c r="B15" s="63"/>
      <c r="C15" s="63"/>
      <c r="D15" s="63"/>
      <c r="E15" s="63"/>
      <c r="F15" s="63"/>
      <c r="G15" s="291"/>
      <c r="H15" s="291"/>
    </row>
    <row r="16" spans="1:8" ht="12.75">
      <c r="A16" s="78"/>
      <c r="B16" s="63"/>
      <c r="C16" s="63"/>
      <c r="D16" s="63"/>
      <c r="E16" s="63"/>
      <c r="F16" s="63"/>
      <c r="G16" s="291"/>
      <c r="H16" s="291"/>
    </row>
    <row r="17" spans="1:8" ht="12.75">
      <c r="A17" s="77"/>
      <c r="B17" s="63"/>
      <c r="C17" s="63"/>
      <c r="D17" s="63"/>
      <c r="E17" s="63"/>
      <c r="F17" s="63"/>
      <c r="G17" s="291"/>
      <c r="H17" s="291"/>
    </row>
    <row r="18" spans="1:8" ht="12.75">
      <c r="A18" s="77"/>
      <c r="B18" s="63"/>
      <c r="C18" s="63"/>
      <c r="D18" s="63"/>
      <c r="E18" s="63"/>
      <c r="F18" s="63"/>
      <c r="G18" s="291"/>
      <c r="H18" s="291"/>
    </row>
    <row r="19" spans="1:8" ht="12.75">
      <c r="A19" s="77"/>
      <c r="B19" s="63"/>
      <c r="C19" s="63"/>
      <c r="D19" s="63"/>
      <c r="E19" s="63"/>
      <c r="F19" s="63"/>
      <c r="G19" s="291"/>
      <c r="H19" s="291"/>
    </row>
    <row r="20" spans="1:8" ht="12.75">
      <c r="A20" s="75"/>
      <c r="B20" s="79"/>
      <c r="C20" s="79"/>
      <c r="D20" s="79"/>
      <c r="E20" s="79"/>
      <c r="F20" s="79"/>
      <c r="G20" s="291"/>
      <c r="H20" s="291"/>
    </row>
    <row r="21" spans="1:8" ht="12.75">
      <c r="A21" s="77"/>
      <c r="B21" s="80"/>
      <c r="C21" s="81"/>
      <c r="D21" s="81"/>
      <c r="E21" s="81"/>
      <c r="F21" s="82"/>
      <c r="G21" s="291"/>
      <c r="H21" s="291"/>
    </row>
    <row r="22" spans="1:8" ht="12.75">
      <c r="A22" s="197"/>
      <c r="B22" s="417"/>
      <c r="C22" s="417"/>
      <c r="D22" s="417"/>
      <c r="E22" s="417"/>
      <c r="F22" s="417"/>
      <c r="G22" s="291"/>
      <c r="H22" s="291"/>
    </row>
    <row r="23" spans="1:8" ht="12.75">
      <c r="A23" s="197"/>
      <c r="B23" s="417"/>
      <c r="C23" s="417"/>
      <c r="D23" s="417"/>
      <c r="E23" s="417"/>
      <c r="F23" s="417"/>
      <c r="G23" s="291"/>
      <c r="H23" s="291"/>
    </row>
    <row r="24" spans="1:8" ht="12.75">
      <c r="A24" s="415" t="s">
        <v>276</v>
      </c>
      <c r="B24" s="197"/>
      <c r="C24" s="101"/>
      <c r="D24" s="101"/>
      <c r="E24" s="101"/>
      <c r="F24" s="101"/>
      <c r="G24" s="291"/>
      <c r="H24" s="291" t="s">
        <v>361</v>
      </c>
    </row>
    <row r="25" spans="1:8" ht="12.75">
      <c r="A25" s="416" t="s">
        <v>285</v>
      </c>
      <c r="B25" s="418"/>
      <c r="C25" s="98">
        <f>+VN!C8</f>
        <v>2007</v>
      </c>
      <c r="D25" s="98">
        <f>+VN!D8</f>
        <v>2008</v>
      </c>
      <c r="E25" s="98">
        <f>+VN!E8</f>
        <v>2009</v>
      </c>
      <c r="F25" s="98">
        <f>+VN!F8</f>
        <v>2010</v>
      </c>
      <c r="G25" s="98">
        <f>+VN!G8</f>
        <v>2011</v>
      </c>
      <c r="H25" s="98">
        <f>+VN!H8</f>
        <v>2012</v>
      </c>
    </row>
    <row r="26" spans="1:8" ht="12.75">
      <c r="A26" s="86" t="s">
        <v>143</v>
      </c>
      <c r="B26" s="83"/>
      <c r="C26" s="76"/>
      <c r="D26" s="76"/>
      <c r="E26" s="76"/>
      <c r="F26" s="76"/>
      <c r="G26" s="76"/>
      <c r="H26" s="76"/>
    </row>
    <row r="27" spans="1:8" ht="12.75">
      <c r="A27" s="86" t="s">
        <v>144</v>
      </c>
      <c r="B27" s="85"/>
      <c r="C27" s="63"/>
      <c r="D27" s="63"/>
      <c r="E27" s="63"/>
      <c r="F27" s="63"/>
      <c r="G27" s="63"/>
      <c r="H27" s="63"/>
    </row>
    <row r="28" spans="1:8" ht="12.75">
      <c r="A28" s="86" t="s">
        <v>145</v>
      </c>
      <c r="B28" s="85"/>
      <c r="C28" s="63"/>
      <c r="D28" s="63"/>
      <c r="E28" s="63"/>
      <c r="F28" s="63"/>
      <c r="G28" s="63"/>
      <c r="H28" s="63"/>
    </row>
    <row r="29" spans="1:8" ht="12.75">
      <c r="A29" s="86" t="s">
        <v>146</v>
      </c>
      <c r="B29" s="85"/>
      <c r="C29" s="63"/>
      <c r="D29" s="63"/>
      <c r="E29" s="63"/>
      <c r="F29" s="63"/>
      <c r="G29" s="63"/>
      <c r="H29" s="63"/>
    </row>
    <row r="30" spans="1:8" ht="12.75">
      <c r="A30" s="77"/>
      <c r="B30" s="85"/>
      <c r="C30" s="63"/>
      <c r="D30" s="63"/>
      <c r="E30" s="63"/>
      <c r="F30" s="63"/>
      <c r="G30" s="63"/>
      <c r="H30" s="63"/>
    </row>
    <row r="31" spans="1:8" ht="12.75">
      <c r="A31" s="77"/>
      <c r="B31" s="85"/>
      <c r="C31" s="63"/>
      <c r="D31" s="63"/>
      <c r="E31" s="63"/>
      <c r="F31" s="63"/>
      <c r="G31" s="63"/>
      <c r="H31" s="63"/>
    </row>
    <row r="32" spans="1:8" ht="12.75">
      <c r="A32" s="78"/>
      <c r="B32" s="85"/>
      <c r="C32" s="63"/>
      <c r="D32" s="63"/>
      <c r="E32" s="63"/>
      <c r="F32" s="63"/>
      <c r="G32" s="63"/>
      <c r="H32" s="63"/>
    </row>
    <row r="33" spans="1:8" ht="12.75">
      <c r="A33" s="499" t="s">
        <v>87</v>
      </c>
      <c r="B33" s="500"/>
      <c r="C33" s="419">
        <f aca="true" t="shared" si="0" ref="C33:H33">+SUM(C26:C32)</f>
        <v>0</v>
      </c>
      <c r="D33" s="419">
        <f t="shared" si="0"/>
        <v>0</v>
      </c>
      <c r="E33" s="419">
        <f t="shared" si="0"/>
        <v>0</v>
      </c>
      <c r="F33" s="419">
        <f t="shared" si="0"/>
        <v>0</v>
      </c>
      <c r="G33" s="419">
        <f t="shared" si="0"/>
        <v>0</v>
      </c>
      <c r="H33" s="419">
        <f t="shared" si="0"/>
        <v>0</v>
      </c>
    </row>
    <row r="34" spans="1:8" ht="12.75">
      <c r="A34" s="206"/>
      <c r="B34" s="420"/>
      <c r="C34" s="214"/>
      <c r="D34" s="214"/>
      <c r="E34" s="214"/>
      <c r="F34" s="214"/>
      <c r="G34" s="291"/>
      <c r="H34" s="291"/>
    </row>
    <row r="35" spans="1:8" ht="12.75">
      <c r="A35" s="415" t="s">
        <v>286</v>
      </c>
      <c r="B35" s="197"/>
      <c r="C35" s="101"/>
      <c r="D35" s="101"/>
      <c r="E35" s="101"/>
      <c r="F35" s="101"/>
      <c r="G35" s="291"/>
      <c r="H35" s="291" t="s">
        <v>361</v>
      </c>
    </row>
    <row r="36" spans="1:8" ht="12.75">
      <c r="A36" s="499" t="s">
        <v>287</v>
      </c>
      <c r="B36" s="500"/>
      <c r="C36" s="98">
        <f aca="true" t="shared" si="1" ref="C36:H36">+C25</f>
        <v>2007</v>
      </c>
      <c r="D36" s="98">
        <f t="shared" si="1"/>
        <v>2008</v>
      </c>
      <c r="E36" s="98">
        <f t="shared" si="1"/>
        <v>2009</v>
      </c>
      <c r="F36" s="98">
        <f t="shared" si="1"/>
        <v>2010</v>
      </c>
      <c r="G36" s="98">
        <f t="shared" si="1"/>
        <v>2011</v>
      </c>
      <c r="H36" s="98">
        <f t="shared" si="1"/>
        <v>2012</v>
      </c>
    </row>
    <row r="37" spans="1:8" ht="12.75">
      <c r="A37" s="75"/>
      <c r="B37" s="83"/>
      <c r="C37" s="76"/>
      <c r="D37" s="76"/>
      <c r="E37" s="76"/>
      <c r="F37" s="76"/>
      <c r="G37" s="76"/>
      <c r="H37" s="76"/>
    </row>
    <row r="38" spans="1:8" ht="12.75">
      <c r="A38" s="84"/>
      <c r="B38" s="83"/>
      <c r="C38" s="76">
        <f aca="true" t="shared" si="2" ref="C38:H38">+C9*C26</f>
        <v>0</v>
      </c>
      <c r="D38" s="76">
        <f t="shared" si="2"/>
        <v>0</v>
      </c>
      <c r="E38" s="76">
        <f t="shared" si="2"/>
        <v>0</v>
      </c>
      <c r="F38" s="76">
        <f t="shared" si="2"/>
        <v>0</v>
      </c>
      <c r="G38" s="76">
        <f t="shared" si="2"/>
        <v>0</v>
      </c>
      <c r="H38" s="76">
        <f t="shared" si="2"/>
        <v>0</v>
      </c>
    </row>
    <row r="39" spans="1:8" ht="12.75">
      <c r="A39" s="84"/>
      <c r="B39" s="83"/>
      <c r="C39" s="76"/>
      <c r="D39" s="76"/>
      <c r="E39" s="76"/>
      <c r="F39" s="76"/>
      <c r="G39" s="76"/>
      <c r="H39" s="76"/>
    </row>
    <row r="40" spans="1:8" ht="12.75">
      <c r="A40" s="84"/>
      <c r="B40" s="83"/>
      <c r="C40" s="76"/>
      <c r="D40" s="76"/>
      <c r="E40" s="76"/>
      <c r="F40" s="76"/>
      <c r="G40" s="76"/>
      <c r="H40" s="76"/>
    </row>
    <row r="41" spans="1:8" ht="12.75">
      <c r="A41" s="84"/>
      <c r="B41" s="83"/>
      <c r="C41" s="76"/>
      <c r="D41" s="76"/>
      <c r="E41" s="76"/>
      <c r="F41" s="76"/>
      <c r="G41" s="76"/>
      <c r="H41" s="76"/>
    </row>
    <row r="42" spans="1:8" ht="12.75">
      <c r="A42" s="84"/>
      <c r="B42" s="83"/>
      <c r="C42" s="76"/>
      <c r="D42" s="76"/>
      <c r="E42" s="76"/>
      <c r="F42" s="76"/>
      <c r="G42" s="76"/>
      <c r="H42" s="76"/>
    </row>
    <row r="43" spans="1:8" ht="12.75">
      <c r="A43" s="84"/>
      <c r="B43" s="83"/>
      <c r="C43" s="76"/>
      <c r="D43" s="76"/>
      <c r="E43" s="76"/>
      <c r="F43" s="76"/>
      <c r="G43" s="76"/>
      <c r="H43" s="76"/>
    </row>
    <row r="44" spans="1:8" ht="12.75">
      <c r="A44" s="84"/>
      <c r="B44" s="85"/>
      <c r="C44" s="76"/>
      <c r="D44" s="76"/>
      <c r="E44" s="76"/>
      <c r="F44" s="76"/>
      <c r="G44" s="76"/>
      <c r="H44" s="76"/>
    </row>
    <row r="45" spans="1:8" ht="12.75">
      <c r="A45" s="84"/>
      <c r="B45" s="85"/>
      <c r="C45" s="76"/>
      <c r="D45" s="76"/>
      <c r="E45" s="76"/>
      <c r="F45" s="76"/>
      <c r="G45" s="76"/>
      <c r="H45" s="76"/>
    </row>
    <row r="46" spans="1:8" ht="12.75">
      <c r="A46" s="84"/>
      <c r="B46" s="85"/>
      <c r="C46" s="76"/>
      <c r="D46" s="76"/>
      <c r="E46" s="76"/>
      <c r="F46" s="76"/>
      <c r="G46" s="76"/>
      <c r="H46" s="76"/>
    </row>
    <row r="47" spans="1:8" ht="12.75">
      <c r="A47" s="77"/>
      <c r="B47" s="85"/>
      <c r="C47" s="76"/>
      <c r="D47" s="76"/>
      <c r="E47" s="76"/>
      <c r="F47" s="76"/>
      <c r="G47" s="76"/>
      <c r="H47" s="76"/>
    </row>
    <row r="48" spans="1:8" ht="12.75">
      <c r="A48" s="77"/>
      <c r="B48" s="85"/>
      <c r="C48" s="76"/>
      <c r="D48" s="76"/>
      <c r="E48" s="76"/>
      <c r="F48" s="76"/>
      <c r="G48" s="76"/>
      <c r="H48" s="76"/>
    </row>
    <row r="49" spans="1:8" ht="12.75">
      <c r="A49" s="77"/>
      <c r="B49" s="85"/>
      <c r="C49" s="76">
        <f aca="true" t="shared" si="3" ref="C49:H49">+C20*C37</f>
        <v>0</v>
      </c>
      <c r="D49" s="76">
        <f t="shared" si="3"/>
        <v>0</v>
      </c>
      <c r="E49" s="76">
        <f t="shared" si="3"/>
        <v>0</v>
      </c>
      <c r="F49" s="76">
        <f t="shared" si="3"/>
        <v>0</v>
      </c>
      <c r="G49" s="76">
        <f t="shared" si="3"/>
        <v>0</v>
      </c>
      <c r="H49" s="76">
        <f t="shared" si="3"/>
        <v>0</v>
      </c>
    </row>
    <row r="50" spans="1:8" ht="12.75">
      <c r="A50" s="78"/>
      <c r="B50" s="85"/>
      <c r="C50" s="63"/>
      <c r="D50" s="63"/>
      <c r="E50" s="63"/>
      <c r="F50" s="63"/>
      <c r="G50" s="63"/>
      <c r="H50" s="63"/>
    </row>
    <row r="51" spans="1:8" ht="12.75">
      <c r="A51" s="197"/>
      <c r="B51" s="197"/>
      <c r="C51" s="197"/>
      <c r="D51" s="197"/>
      <c r="E51" s="197"/>
      <c r="F51" s="197"/>
      <c r="G51" s="101"/>
      <c r="H51" s="101"/>
    </row>
    <row r="52" spans="1:8" ht="12.75">
      <c r="A52" s="197"/>
      <c r="B52" s="197"/>
      <c r="C52" s="197"/>
      <c r="D52" s="197"/>
      <c r="E52" s="197"/>
      <c r="F52" s="197"/>
      <c r="G52" s="101"/>
      <c r="H52" s="101"/>
    </row>
    <row r="53" spans="1:8" ht="12.75">
      <c r="A53" s="415" t="s">
        <v>290</v>
      </c>
      <c r="B53" s="197"/>
      <c r="C53" s="101"/>
      <c r="D53" s="101"/>
      <c r="E53" s="101"/>
      <c r="F53" s="101"/>
      <c r="G53" s="291"/>
      <c r="H53" s="291"/>
    </row>
    <row r="54" spans="1:8" ht="12.75">
      <c r="A54" s="499" t="s">
        <v>288</v>
      </c>
      <c r="B54" s="500"/>
      <c r="C54" s="98">
        <f aca="true" t="shared" si="4" ref="C54:H54">+C36</f>
        <v>2007</v>
      </c>
      <c r="D54" s="98">
        <f t="shared" si="4"/>
        <v>2008</v>
      </c>
      <c r="E54" s="98">
        <f t="shared" si="4"/>
        <v>2009</v>
      </c>
      <c r="F54" s="98">
        <f t="shared" si="4"/>
        <v>2010</v>
      </c>
      <c r="G54" s="98">
        <f t="shared" si="4"/>
        <v>2011</v>
      </c>
      <c r="H54" s="98">
        <f t="shared" si="4"/>
        <v>2012</v>
      </c>
    </row>
    <row r="55" spans="1:8" ht="12.75">
      <c r="A55" s="75"/>
      <c r="B55" s="83"/>
      <c r="C55" s="76"/>
      <c r="D55" s="76"/>
      <c r="E55" s="76"/>
      <c r="F55" s="76"/>
      <c r="G55" s="76"/>
      <c r="H55" s="76"/>
    </row>
    <row r="56" spans="1:8" ht="12.75">
      <c r="A56" s="84"/>
      <c r="B56" s="83"/>
      <c r="C56" s="76"/>
      <c r="D56" s="76"/>
      <c r="E56" s="76"/>
      <c r="F56" s="76"/>
      <c r="G56" s="76"/>
      <c r="H56" s="76"/>
    </row>
    <row r="57" spans="1:8" ht="12.75">
      <c r="A57" s="84"/>
      <c r="B57" s="83"/>
      <c r="C57" s="76"/>
      <c r="D57" s="76"/>
      <c r="E57" s="76"/>
      <c r="F57" s="76"/>
      <c r="G57" s="76"/>
      <c r="H57" s="76"/>
    </row>
    <row r="58" spans="1:8" ht="12.75">
      <c r="A58" s="84"/>
      <c r="B58" s="83"/>
      <c r="C58" s="76"/>
      <c r="D58" s="76"/>
      <c r="E58" s="76"/>
      <c r="F58" s="76"/>
      <c r="G58" s="76"/>
      <c r="H58" s="76"/>
    </row>
    <row r="59" spans="1:8" ht="12.75">
      <c r="A59" s="84"/>
      <c r="B59" s="83"/>
      <c r="C59" s="76"/>
      <c r="D59" s="76"/>
      <c r="E59" s="76"/>
      <c r="F59" s="76"/>
      <c r="G59" s="76"/>
      <c r="H59" s="76"/>
    </row>
    <row r="60" spans="1:8" ht="12.75">
      <c r="A60" s="84"/>
      <c r="B60" s="83"/>
      <c r="C60" s="76"/>
      <c r="D60" s="76"/>
      <c r="E60" s="76"/>
      <c r="F60" s="76"/>
      <c r="G60" s="76"/>
      <c r="H60" s="76"/>
    </row>
    <row r="61" spans="1:8" ht="12.75">
      <c r="A61" s="84"/>
      <c r="B61" s="83"/>
      <c r="C61" s="76"/>
      <c r="D61" s="76"/>
      <c r="E61" s="76"/>
      <c r="F61" s="76"/>
      <c r="G61" s="76"/>
      <c r="H61" s="76"/>
    </row>
    <row r="62" spans="1:8" ht="12.75">
      <c r="A62" s="84"/>
      <c r="B62" s="85"/>
      <c r="C62" s="63"/>
      <c r="D62" s="63"/>
      <c r="E62" s="63"/>
      <c r="F62" s="63"/>
      <c r="G62" s="63"/>
      <c r="H62" s="63"/>
    </row>
    <row r="63" spans="1:8" ht="12.75">
      <c r="A63" s="84"/>
      <c r="B63" s="85"/>
      <c r="C63" s="63"/>
      <c r="D63" s="63"/>
      <c r="E63" s="63"/>
      <c r="F63" s="63"/>
      <c r="G63" s="63"/>
      <c r="H63" s="63"/>
    </row>
    <row r="64" spans="1:8" ht="12.75">
      <c r="A64" s="84"/>
      <c r="B64" s="85"/>
      <c r="C64" s="63"/>
      <c r="D64" s="63"/>
      <c r="E64" s="63"/>
      <c r="F64" s="63"/>
      <c r="G64" s="63"/>
      <c r="H64" s="63"/>
    </row>
    <row r="65" spans="1:8" ht="12.75">
      <c r="A65" s="77"/>
      <c r="B65" s="85"/>
      <c r="C65" s="63"/>
      <c r="D65" s="63"/>
      <c r="E65" s="63"/>
      <c r="F65" s="63"/>
      <c r="G65" s="63"/>
      <c r="H65" s="63"/>
    </row>
    <row r="66" spans="1:8" ht="12.75">
      <c r="A66" s="77"/>
      <c r="B66" s="85"/>
      <c r="C66" s="63"/>
      <c r="D66" s="63"/>
      <c r="E66" s="63"/>
      <c r="F66" s="63"/>
      <c r="G66" s="63"/>
      <c r="H66" s="63"/>
    </row>
    <row r="67" spans="1:8" ht="12.75">
      <c r="A67" s="77"/>
      <c r="B67" s="85"/>
      <c r="C67" s="63"/>
      <c r="D67" s="63"/>
      <c r="E67" s="63"/>
      <c r="F67" s="63"/>
      <c r="G67" s="63"/>
      <c r="H67" s="63"/>
    </row>
    <row r="68" spans="1:8" ht="12.75">
      <c r="A68" s="78"/>
      <c r="B68" s="85"/>
      <c r="C68" s="63"/>
      <c r="D68" s="63"/>
      <c r="E68" s="63"/>
      <c r="F68" s="63"/>
      <c r="G68" s="63"/>
      <c r="H68" s="63"/>
    </row>
    <row r="69" spans="1:8" ht="12.75">
      <c r="A69" s="197"/>
      <c r="B69" s="197"/>
      <c r="C69" s="197"/>
      <c r="D69" s="197"/>
      <c r="E69" s="197"/>
      <c r="F69" s="197"/>
      <c r="G69" s="101"/>
      <c r="H69" s="101"/>
    </row>
    <row r="70" spans="1:8" ht="12.75">
      <c r="A70" s="197"/>
      <c r="B70" s="197"/>
      <c r="C70" s="197"/>
      <c r="D70" s="197"/>
      <c r="E70" s="197"/>
      <c r="F70" s="197"/>
      <c r="G70" s="101"/>
      <c r="H70" s="101"/>
    </row>
    <row r="71" spans="1:8" ht="12.75">
      <c r="A71" s="415" t="s">
        <v>289</v>
      </c>
      <c r="B71" s="197"/>
      <c r="C71" s="101"/>
      <c r="D71" s="101"/>
      <c r="E71" s="101"/>
      <c r="F71" s="101"/>
      <c r="G71" s="291"/>
      <c r="H71" s="291"/>
    </row>
    <row r="72" spans="1:8" ht="12.75">
      <c r="A72" s="499" t="s">
        <v>288</v>
      </c>
      <c r="B72" s="500"/>
      <c r="C72" s="98">
        <f aca="true" t="shared" si="5" ref="C72:H72">+C25</f>
        <v>2007</v>
      </c>
      <c r="D72" s="98">
        <f t="shared" si="5"/>
        <v>2008</v>
      </c>
      <c r="E72" s="98">
        <f t="shared" si="5"/>
        <v>2009</v>
      </c>
      <c r="F72" s="98">
        <f t="shared" si="5"/>
        <v>2010</v>
      </c>
      <c r="G72" s="98">
        <f t="shared" si="5"/>
        <v>2011</v>
      </c>
      <c r="H72" s="98">
        <f t="shared" si="5"/>
        <v>2012</v>
      </c>
    </row>
    <row r="73" spans="1:8" ht="12.75">
      <c r="A73" s="75"/>
      <c r="B73" s="83"/>
      <c r="C73" s="76">
        <f aca="true" t="shared" si="6" ref="C73:H86">+C37*C55</f>
        <v>0</v>
      </c>
      <c r="D73" s="76">
        <f t="shared" si="6"/>
        <v>0</v>
      </c>
      <c r="E73" s="76">
        <f t="shared" si="6"/>
        <v>0</v>
      </c>
      <c r="F73" s="76">
        <f t="shared" si="6"/>
        <v>0</v>
      </c>
      <c r="G73" s="76">
        <f t="shared" si="6"/>
        <v>0</v>
      </c>
      <c r="H73" s="76">
        <f t="shared" si="6"/>
        <v>0</v>
      </c>
    </row>
    <row r="74" spans="1:8" ht="12.75">
      <c r="A74" s="84"/>
      <c r="B74" s="83"/>
      <c r="C74" s="76">
        <f t="shared" si="6"/>
        <v>0</v>
      </c>
      <c r="D74" s="76">
        <f t="shared" si="6"/>
        <v>0</v>
      </c>
      <c r="E74" s="76">
        <f t="shared" si="6"/>
        <v>0</v>
      </c>
      <c r="F74" s="76">
        <f t="shared" si="6"/>
        <v>0</v>
      </c>
      <c r="G74" s="76">
        <f t="shared" si="6"/>
        <v>0</v>
      </c>
      <c r="H74" s="76">
        <f t="shared" si="6"/>
        <v>0</v>
      </c>
    </row>
    <row r="75" spans="1:8" ht="12.75">
      <c r="A75" s="84"/>
      <c r="B75" s="83"/>
      <c r="C75" s="76">
        <f t="shared" si="6"/>
        <v>0</v>
      </c>
      <c r="D75" s="76">
        <f t="shared" si="6"/>
        <v>0</v>
      </c>
      <c r="E75" s="76">
        <f t="shared" si="6"/>
        <v>0</v>
      </c>
      <c r="F75" s="76">
        <f t="shared" si="6"/>
        <v>0</v>
      </c>
      <c r="G75" s="76">
        <f t="shared" si="6"/>
        <v>0</v>
      </c>
      <c r="H75" s="76">
        <f t="shared" si="6"/>
        <v>0</v>
      </c>
    </row>
    <row r="76" spans="1:8" ht="12.75">
      <c r="A76" s="84"/>
      <c r="B76" s="83"/>
      <c r="C76" s="76">
        <f t="shared" si="6"/>
        <v>0</v>
      </c>
      <c r="D76" s="76">
        <f t="shared" si="6"/>
        <v>0</v>
      </c>
      <c r="E76" s="76">
        <f t="shared" si="6"/>
        <v>0</v>
      </c>
      <c r="F76" s="76">
        <f t="shared" si="6"/>
        <v>0</v>
      </c>
      <c r="G76" s="76">
        <f t="shared" si="6"/>
        <v>0</v>
      </c>
      <c r="H76" s="76">
        <f t="shared" si="6"/>
        <v>0</v>
      </c>
    </row>
    <row r="77" spans="1:8" ht="12.75">
      <c r="A77" s="84"/>
      <c r="B77" s="83"/>
      <c r="C77" s="76">
        <f t="shared" si="6"/>
        <v>0</v>
      </c>
      <c r="D77" s="76">
        <f t="shared" si="6"/>
        <v>0</v>
      </c>
      <c r="E77" s="76">
        <f t="shared" si="6"/>
        <v>0</v>
      </c>
      <c r="F77" s="76">
        <f t="shared" si="6"/>
        <v>0</v>
      </c>
      <c r="G77" s="76">
        <f t="shared" si="6"/>
        <v>0</v>
      </c>
      <c r="H77" s="76">
        <f t="shared" si="6"/>
        <v>0</v>
      </c>
    </row>
    <row r="78" spans="1:8" ht="12.75">
      <c r="A78" s="84"/>
      <c r="B78" s="83"/>
      <c r="C78" s="76">
        <f t="shared" si="6"/>
        <v>0</v>
      </c>
      <c r="D78" s="76">
        <f t="shared" si="6"/>
        <v>0</v>
      </c>
      <c r="E78" s="76">
        <f t="shared" si="6"/>
        <v>0</v>
      </c>
      <c r="F78" s="76">
        <f t="shared" si="6"/>
        <v>0</v>
      </c>
      <c r="G78" s="76">
        <f t="shared" si="6"/>
        <v>0</v>
      </c>
      <c r="H78" s="76">
        <f t="shared" si="6"/>
        <v>0</v>
      </c>
    </row>
    <row r="79" spans="1:8" ht="12.75">
      <c r="A79" s="84"/>
      <c r="B79" s="83"/>
      <c r="C79" s="76">
        <f t="shared" si="6"/>
        <v>0</v>
      </c>
      <c r="D79" s="76">
        <f t="shared" si="6"/>
        <v>0</v>
      </c>
      <c r="E79" s="76">
        <f t="shared" si="6"/>
        <v>0</v>
      </c>
      <c r="F79" s="76">
        <f t="shared" si="6"/>
        <v>0</v>
      </c>
      <c r="G79" s="76">
        <f t="shared" si="6"/>
        <v>0</v>
      </c>
      <c r="H79" s="76">
        <f t="shared" si="6"/>
        <v>0</v>
      </c>
    </row>
    <row r="80" spans="1:8" ht="12.75">
      <c r="A80" s="84"/>
      <c r="B80" s="85"/>
      <c r="C80" s="76">
        <f t="shared" si="6"/>
        <v>0</v>
      </c>
      <c r="D80" s="76">
        <f t="shared" si="6"/>
        <v>0</v>
      </c>
      <c r="E80" s="76">
        <f t="shared" si="6"/>
        <v>0</v>
      </c>
      <c r="F80" s="76">
        <f t="shared" si="6"/>
        <v>0</v>
      </c>
      <c r="G80" s="76">
        <f t="shared" si="6"/>
        <v>0</v>
      </c>
      <c r="H80" s="76">
        <f t="shared" si="6"/>
        <v>0</v>
      </c>
    </row>
    <row r="81" spans="1:8" ht="12.75">
      <c r="A81" s="84"/>
      <c r="B81" s="85"/>
      <c r="C81" s="76">
        <f t="shared" si="6"/>
        <v>0</v>
      </c>
      <c r="D81" s="76">
        <f t="shared" si="6"/>
        <v>0</v>
      </c>
      <c r="E81" s="76">
        <f t="shared" si="6"/>
        <v>0</v>
      </c>
      <c r="F81" s="76">
        <f t="shared" si="6"/>
        <v>0</v>
      </c>
      <c r="G81" s="76">
        <f t="shared" si="6"/>
        <v>0</v>
      </c>
      <c r="H81" s="76">
        <f t="shared" si="6"/>
        <v>0</v>
      </c>
    </row>
    <row r="82" spans="1:8" ht="12.75">
      <c r="A82" s="84"/>
      <c r="B82" s="85"/>
      <c r="C82" s="76">
        <f t="shared" si="6"/>
        <v>0</v>
      </c>
      <c r="D82" s="76">
        <f t="shared" si="6"/>
        <v>0</v>
      </c>
      <c r="E82" s="76">
        <f t="shared" si="6"/>
        <v>0</v>
      </c>
      <c r="F82" s="76">
        <f t="shared" si="6"/>
        <v>0</v>
      </c>
      <c r="G82" s="76">
        <f t="shared" si="6"/>
        <v>0</v>
      </c>
      <c r="H82" s="76">
        <f t="shared" si="6"/>
        <v>0</v>
      </c>
    </row>
    <row r="83" spans="1:8" ht="12.75">
      <c r="A83" s="77"/>
      <c r="B83" s="85"/>
      <c r="C83" s="76">
        <f t="shared" si="6"/>
        <v>0</v>
      </c>
      <c r="D83" s="76">
        <f t="shared" si="6"/>
        <v>0</v>
      </c>
      <c r="E83" s="76">
        <f t="shared" si="6"/>
        <v>0</v>
      </c>
      <c r="F83" s="76">
        <f t="shared" si="6"/>
        <v>0</v>
      </c>
      <c r="G83" s="76">
        <f t="shared" si="6"/>
        <v>0</v>
      </c>
      <c r="H83" s="76">
        <f t="shared" si="6"/>
        <v>0</v>
      </c>
    </row>
    <row r="84" spans="1:8" ht="12.75">
      <c r="A84" s="77"/>
      <c r="B84" s="85"/>
      <c r="C84" s="76">
        <f t="shared" si="6"/>
        <v>0</v>
      </c>
      <c r="D84" s="76">
        <f t="shared" si="6"/>
        <v>0</v>
      </c>
      <c r="E84" s="76">
        <f t="shared" si="6"/>
        <v>0</v>
      </c>
      <c r="F84" s="76">
        <f t="shared" si="6"/>
        <v>0</v>
      </c>
      <c r="G84" s="76">
        <f t="shared" si="6"/>
        <v>0</v>
      </c>
      <c r="H84" s="76">
        <f t="shared" si="6"/>
        <v>0</v>
      </c>
    </row>
    <row r="85" spans="1:8" ht="12.75">
      <c r="A85" s="77"/>
      <c r="B85" s="85"/>
      <c r="C85" s="76">
        <f t="shared" si="6"/>
        <v>0</v>
      </c>
      <c r="D85" s="76">
        <f t="shared" si="6"/>
        <v>0</v>
      </c>
      <c r="E85" s="76">
        <f t="shared" si="6"/>
        <v>0</v>
      </c>
      <c r="F85" s="76">
        <f t="shared" si="6"/>
        <v>0</v>
      </c>
      <c r="G85" s="76">
        <f t="shared" si="6"/>
        <v>0</v>
      </c>
      <c r="H85" s="76">
        <f t="shared" si="6"/>
        <v>0</v>
      </c>
    </row>
    <row r="86" spans="1:8" ht="12.75">
      <c r="A86" s="78"/>
      <c r="B86" s="85"/>
      <c r="C86" s="76">
        <f t="shared" si="6"/>
        <v>0</v>
      </c>
      <c r="D86" s="76">
        <f t="shared" si="6"/>
        <v>0</v>
      </c>
      <c r="E86" s="76">
        <f t="shared" si="6"/>
        <v>0</v>
      </c>
      <c r="F86" s="76">
        <f t="shared" si="6"/>
        <v>0</v>
      </c>
      <c r="G86" s="76">
        <f t="shared" si="6"/>
        <v>0</v>
      </c>
      <c r="H86" s="76">
        <f t="shared" si="6"/>
        <v>0</v>
      </c>
    </row>
    <row r="87" spans="1:8" ht="12.75">
      <c r="A87" s="499" t="s">
        <v>87</v>
      </c>
      <c r="B87" s="500"/>
      <c r="C87" s="419">
        <f aca="true" t="shared" si="7" ref="C87:H87">+SUM(C73:C86)</f>
        <v>0</v>
      </c>
      <c r="D87" s="419">
        <f t="shared" si="7"/>
        <v>0</v>
      </c>
      <c r="E87" s="419">
        <f t="shared" si="7"/>
        <v>0</v>
      </c>
      <c r="F87" s="419">
        <f t="shared" si="7"/>
        <v>0</v>
      </c>
      <c r="G87" s="419">
        <f t="shared" si="7"/>
        <v>0</v>
      </c>
      <c r="H87" s="419">
        <f t="shared" si="7"/>
        <v>0</v>
      </c>
    </row>
    <row r="88" spans="1:8" ht="12.75">
      <c r="A88" s="101"/>
      <c r="B88" s="101"/>
      <c r="C88" s="101"/>
      <c r="D88" s="101"/>
      <c r="E88" s="101"/>
      <c r="F88" s="101"/>
      <c r="G88" s="101"/>
      <c r="H88" s="101"/>
    </row>
    <row r="89" spans="1:8" ht="12.75">
      <c r="A89" s="101"/>
      <c r="B89" s="101"/>
      <c r="C89" s="101"/>
      <c r="D89" s="101"/>
      <c r="E89" s="101"/>
      <c r="F89" s="101"/>
      <c r="G89" s="101"/>
      <c r="H89" s="101"/>
    </row>
    <row r="90" spans="1:8" ht="12.75">
      <c r="A90" s="213" t="s">
        <v>362</v>
      </c>
      <c r="B90" s="101"/>
      <c r="C90" s="101"/>
      <c r="D90" s="101"/>
      <c r="E90" s="101"/>
      <c r="F90" s="101"/>
      <c r="G90" s="101"/>
      <c r="H90" s="101"/>
    </row>
    <row r="91" spans="1:8" ht="12.75">
      <c r="A91" s="213" t="s">
        <v>363</v>
      </c>
      <c r="B91" s="101"/>
      <c r="C91" s="101"/>
      <c r="D91" s="101"/>
      <c r="E91" s="101"/>
      <c r="F91" s="101"/>
      <c r="G91" s="101"/>
      <c r="H91" s="101"/>
    </row>
  </sheetData>
  <sheetProtection password="8618" sheet="1" objects="1" scenarios="1"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ignoredErrors>
    <ignoredError sqref="C38:H8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2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34.28125" style="23" bestFit="1" customWidth="1"/>
    <col min="2" max="3" width="15.7109375" style="23" customWidth="1"/>
    <col min="4" max="4" width="16.421875" style="23" customWidth="1"/>
    <col min="5" max="5" width="13.7109375" style="23" customWidth="1"/>
    <col min="6" max="16384" width="8.7109375" style="23" customWidth="1"/>
  </cols>
  <sheetData>
    <row r="1" spans="1:5" ht="12.75">
      <c r="A1" s="30"/>
      <c r="B1" s="31"/>
      <c r="C1" s="31"/>
      <c r="D1" s="50" t="s">
        <v>120</v>
      </c>
      <c r="E1" s="421" t="s">
        <v>294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45" t="s">
        <v>10</v>
      </c>
      <c r="B4" s="445"/>
      <c r="C4" s="445"/>
      <c r="D4" s="445"/>
      <c r="E4" s="445"/>
    </row>
    <row r="5" spans="1:5" ht="12.75">
      <c r="A5" s="5"/>
      <c r="B5" s="5"/>
      <c r="C5" s="5"/>
      <c r="D5" s="5"/>
      <c r="E5" s="1"/>
    </row>
    <row r="6" spans="1:5" ht="15.75">
      <c r="A6" s="455" t="s">
        <v>369</v>
      </c>
      <c r="B6" s="455"/>
      <c r="C6" s="455"/>
      <c r="D6" s="455"/>
      <c r="E6" s="455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32"/>
      <c r="D8" s="33"/>
      <c r="E8" s="34"/>
    </row>
    <row r="9" spans="1:5" ht="12.75">
      <c r="A9" s="6" t="s">
        <v>110</v>
      </c>
      <c r="B9" s="88" t="s">
        <v>367</v>
      </c>
      <c r="C9" s="32"/>
      <c r="D9" s="33"/>
      <c r="E9" s="34"/>
    </row>
    <row r="10" spans="1:5" ht="12.75">
      <c r="A10" s="2"/>
      <c r="B10" s="72"/>
      <c r="C10" s="32"/>
      <c r="D10" s="33"/>
      <c r="E10" s="34"/>
    </row>
    <row r="11" spans="1:5" ht="12.75">
      <c r="A11" s="6" t="s">
        <v>291</v>
      </c>
      <c r="B11" s="35">
        <v>30</v>
      </c>
      <c r="C11" s="36">
        <f>+B11/30</f>
        <v>1</v>
      </c>
      <c r="D11" s="33"/>
      <c r="E11" s="34"/>
    </row>
    <row r="12" spans="1:5" ht="12.75">
      <c r="A12" s="6" t="s">
        <v>292</v>
      </c>
      <c r="B12" s="37">
        <v>30</v>
      </c>
      <c r="C12" s="36">
        <f>+B12/30</f>
        <v>1</v>
      </c>
      <c r="D12" s="33"/>
      <c r="E12" s="34"/>
    </row>
    <row r="13" spans="1:5" ht="12.75">
      <c r="A13" s="6" t="s">
        <v>293</v>
      </c>
      <c r="B13" s="37">
        <v>15</v>
      </c>
      <c r="C13" s="36">
        <f>+B13/30</f>
        <v>0.5</v>
      </c>
      <c r="D13" s="33"/>
      <c r="E13" s="34"/>
    </row>
    <row r="14" spans="1:5" ht="12.75">
      <c r="A14" s="2"/>
      <c r="B14" s="72"/>
      <c r="C14" s="32"/>
      <c r="D14" s="33"/>
      <c r="E14" s="34"/>
    </row>
    <row r="15" spans="1:5" ht="12.75">
      <c r="A15" s="6" t="s">
        <v>296</v>
      </c>
      <c r="B15" s="38">
        <v>0.21</v>
      </c>
      <c r="C15" s="39"/>
      <c r="D15" s="40"/>
      <c r="E15" s="41"/>
    </row>
    <row r="16" spans="1:5" ht="12.75">
      <c r="A16" s="6" t="s">
        <v>297</v>
      </c>
      <c r="B16" s="38">
        <v>0.21</v>
      </c>
      <c r="C16" s="39"/>
      <c r="D16" s="40"/>
      <c r="E16" s="41"/>
    </row>
    <row r="17" spans="1:5" ht="12.75">
      <c r="A17" s="6" t="s">
        <v>187</v>
      </c>
      <c r="B17" s="38">
        <v>0.21</v>
      </c>
      <c r="C17" s="42"/>
      <c r="D17" s="40"/>
      <c r="E17" s="41"/>
    </row>
    <row r="18" spans="1:5" ht="12.75">
      <c r="A18" s="6" t="s">
        <v>188</v>
      </c>
      <c r="B18" s="38">
        <v>0.21</v>
      </c>
      <c r="C18" s="43"/>
      <c r="D18" s="40"/>
      <c r="E18" s="41"/>
    </row>
    <row r="19" spans="1:5" ht="12.75">
      <c r="A19" s="2"/>
      <c r="B19" s="72"/>
      <c r="C19" s="32"/>
      <c r="D19" s="33"/>
      <c r="E19" s="34"/>
    </row>
    <row r="20" spans="1:5" ht="12.75">
      <c r="A20" s="6" t="s">
        <v>166</v>
      </c>
      <c r="B20" s="44">
        <v>0.15</v>
      </c>
      <c r="C20" s="32"/>
      <c r="D20" s="33"/>
      <c r="E20" s="34"/>
    </row>
    <row r="21" spans="1:5" ht="13.5" customHeight="1">
      <c r="A21" s="6" t="s">
        <v>170</v>
      </c>
      <c r="B21" s="44">
        <v>0.25</v>
      </c>
      <c r="C21" s="32"/>
      <c r="D21" s="33"/>
      <c r="E21" s="34"/>
    </row>
    <row r="22" spans="1:5" ht="13.5" customHeight="1">
      <c r="A22" s="6" t="s">
        <v>197</v>
      </c>
      <c r="B22" s="44">
        <v>0.1</v>
      </c>
      <c r="C22" s="32"/>
      <c r="D22" s="33"/>
      <c r="E22" s="34"/>
    </row>
    <row r="23" spans="1:5" ht="12.75">
      <c r="A23" s="2"/>
      <c r="B23" s="72"/>
      <c r="C23" s="32"/>
      <c r="D23" s="33"/>
      <c r="E23" s="34"/>
    </row>
    <row r="24" spans="1:5" ht="12.75">
      <c r="A24" s="6" t="s">
        <v>407</v>
      </c>
      <c r="B24" s="44">
        <v>0.02</v>
      </c>
      <c r="C24" s="32"/>
      <c r="D24" s="33"/>
      <c r="E24" s="34"/>
    </row>
    <row r="25" spans="1:5" ht="12.75">
      <c r="A25" s="6" t="s">
        <v>240</v>
      </c>
      <c r="B25" s="44">
        <v>0.05</v>
      </c>
      <c r="C25" s="32"/>
      <c r="D25" s="33"/>
      <c r="E25" s="34"/>
    </row>
    <row r="26" spans="1:5" ht="12.75">
      <c r="A26" s="6" t="s">
        <v>241</v>
      </c>
      <c r="B26" s="44">
        <v>0.05</v>
      </c>
      <c r="C26" s="5"/>
      <c r="D26" s="33"/>
      <c r="E26" s="34"/>
    </row>
    <row r="27" spans="1:5" ht="12.75">
      <c r="A27" s="5"/>
      <c r="B27" s="5"/>
      <c r="C27" s="32"/>
      <c r="D27" s="33"/>
      <c r="E27" s="34"/>
    </row>
    <row r="28" spans="1:5" ht="12.75">
      <c r="A28" s="6" t="s">
        <v>242</v>
      </c>
      <c r="B28" s="45">
        <v>0.03</v>
      </c>
      <c r="C28" s="446" t="s">
        <v>278</v>
      </c>
      <c r="D28" s="447"/>
      <c r="E28" s="448"/>
    </row>
    <row r="29" spans="1:5" ht="12.75">
      <c r="A29" s="6" t="s">
        <v>280</v>
      </c>
      <c r="B29" s="45">
        <v>0.1</v>
      </c>
      <c r="C29" s="449" t="s">
        <v>279</v>
      </c>
      <c r="D29" s="450"/>
      <c r="E29" s="451"/>
    </row>
    <row r="30" spans="1:5" ht="12.75">
      <c r="A30" s="6" t="s">
        <v>0</v>
      </c>
      <c r="B30" s="45">
        <v>1</v>
      </c>
      <c r="C30" s="46" t="s">
        <v>309</v>
      </c>
      <c r="D30" s="47"/>
      <c r="E30" s="48"/>
    </row>
    <row r="31" spans="1:5" ht="12.75">
      <c r="A31" s="6" t="s">
        <v>313</v>
      </c>
      <c r="B31" s="49">
        <v>0.05</v>
      </c>
      <c r="C31" s="452" t="s">
        <v>277</v>
      </c>
      <c r="D31" s="453"/>
      <c r="E31" s="454"/>
    </row>
    <row r="32" spans="1:5" ht="12.75">
      <c r="A32" s="5" t="s">
        <v>366</v>
      </c>
      <c r="B32" s="5"/>
      <c r="C32" s="32"/>
      <c r="D32" s="33"/>
      <c r="E32" s="34"/>
    </row>
    <row r="33" spans="1:5" ht="12.75">
      <c r="A33" s="5"/>
      <c r="B33" s="5"/>
      <c r="C33" s="32"/>
      <c r="D33" s="33"/>
      <c r="E33" s="34"/>
    </row>
    <row r="34" spans="1:5" ht="12.75">
      <c r="A34" s="9" t="s">
        <v>408</v>
      </c>
      <c r="B34" s="5"/>
      <c r="C34" s="32"/>
      <c r="D34" s="33"/>
      <c r="E34" s="34"/>
    </row>
    <row r="35" spans="1:5" ht="12.75">
      <c r="A35" s="5"/>
      <c r="B35" s="5"/>
      <c r="C35" s="32"/>
      <c r="D35" s="33"/>
      <c r="E35" s="34"/>
    </row>
    <row r="36" spans="1:5" ht="12.75">
      <c r="A36" s="4" t="s">
        <v>222</v>
      </c>
      <c r="B36" s="2"/>
      <c r="C36" s="74"/>
      <c r="D36" s="40"/>
      <c r="E36" s="41"/>
    </row>
    <row r="37" spans="1:5" ht="12.75">
      <c r="A37" s="444" t="s">
        <v>409</v>
      </c>
      <c r="B37" s="444"/>
      <c r="C37" s="444"/>
      <c r="D37" s="444"/>
      <c r="E37" s="444"/>
    </row>
    <row r="38" spans="1:5" ht="12.75">
      <c r="A38" s="444"/>
      <c r="B38" s="444"/>
      <c r="C38" s="444"/>
      <c r="D38" s="444"/>
      <c r="E38" s="444"/>
    </row>
    <row r="39" spans="1:5" ht="12.75">
      <c r="A39" s="444"/>
      <c r="B39" s="444"/>
      <c r="C39" s="444"/>
      <c r="D39" s="444"/>
      <c r="E39" s="444"/>
    </row>
    <row r="40" spans="1:5" ht="12.75">
      <c r="A40" s="444"/>
      <c r="B40" s="444"/>
      <c r="C40" s="444"/>
      <c r="D40" s="444"/>
      <c r="E40" s="444"/>
    </row>
    <row r="41" spans="1:5" ht="12.75">
      <c r="A41" s="4" t="s">
        <v>411</v>
      </c>
      <c r="B41" s="2"/>
      <c r="C41" s="74"/>
      <c r="D41" s="40"/>
      <c r="E41" s="41"/>
    </row>
    <row r="42" spans="1:5" ht="12.75">
      <c r="A42" s="444" t="s">
        <v>410</v>
      </c>
      <c r="B42" s="444"/>
      <c r="C42" s="444"/>
      <c r="D42" s="444"/>
      <c r="E42" s="444"/>
    </row>
    <row r="43" spans="1:5" ht="12.75">
      <c r="A43" s="444"/>
      <c r="B43" s="444"/>
      <c r="C43" s="444"/>
      <c r="D43" s="444"/>
      <c r="E43" s="444"/>
    </row>
    <row r="44" spans="1:5" ht="12.75">
      <c r="A44" s="444"/>
      <c r="B44" s="444"/>
      <c r="C44" s="444"/>
      <c r="D44" s="444"/>
      <c r="E44" s="444"/>
    </row>
    <row r="45" spans="1:18" ht="12.75">
      <c r="A45" s="444"/>
      <c r="B45" s="444"/>
      <c r="C45" s="444"/>
      <c r="D45" s="444"/>
      <c r="E45" s="44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24"/>
      <c r="B46" s="24"/>
      <c r="C46" s="24"/>
      <c r="D46" s="27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24"/>
      <c r="B47" s="24"/>
      <c r="C47" s="24"/>
      <c r="D47" s="28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24"/>
      <c r="B48" s="24"/>
      <c r="C48" s="24"/>
      <c r="D48" s="29"/>
      <c r="E48" s="24"/>
      <c r="F48" s="2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</sheetData>
  <sheetProtection password="8618" sheet="1" objects="1" scenarios="1"/>
  <mergeCells count="7">
    <mergeCell ref="A37:E40"/>
    <mergeCell ref="A42:E45"/>
    <mergeCell ref="A4:E4"/>
    <mergeCell ref="C28:E28"/>
    <mergeCell ref="C29:E29"/>
    <mergeCell ref="C31:E31"/>
    <mergeCell ref="A6:E6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tabSelected="1" workbookViewId="0" topLeftCell="A1">
      <selection activeCell="I7" sqref="I7"/>
    </sheetView>
  </sheetViews>
  <sheetFormatPr defaultColWidth="9.140625" defaultRowHeight="12.75"/>
  <cols>
    <col min="1" max="1" width="37.57421875" style="93" customWidth="1"/>
    <col min="2" max="2" width="7.8515625" style="93" customWidth="1"/>
    <col min="3" max="14" width="11.421875" style="93" customWidth="1"/>
    <col min="15" max="16384" width="8.7109375" style="93" customWidth="1"/>
  </cols>
  <sheetData>
    <row r="1" spans="1:8" ht="13.5">
      <c r="A1" s="89"/>
      <c r="B1" s="89"/>
      <c r="C1" s="90"/>
      <c r="D1" s="90"/>
      <c r="E1" s="90"/>
      <c r="F1" s="90"/>
      <c r="G1" s="91" t="s">
        <v>120</v>
      </c>
      <c r="H1" s="92" t="str">
        <f>+Pressupostos!E1</f>
        <v>XPTO, Lda</v>
      </c>
    </row>
    <row r="2" spans="1:8" ht="13.5">
      <c r="A2" s="94" t="s">
        <v>295</v>
      </c>
      <c r="B2" s="90"/>
      <c r="C2" s="90"/>
      <c r="D2" s="90"/>
      <c r="E2" s="90"/>
      <c r="F2" s="90"/>
      <c r="G2" s="90"/>
      <c r="H2" s="95" t="str">
        <f>+Pressupostos!B9</f>
        <v>Euros</v>
      </c>
    </row>
    <row r="3" spans="1:8" ht="13.5">
      <c r="A3" s="94"/>
      <c r="B3" s="90"/>
      <c r="C3" s="90"/>
      <c r="D3" s="90"/>
      <c r="E3" s="90"/>
      <c r="F3" s="90"/>
      <c r="G3" s="90"/>
      <c r="H3" s="95"/>
    </row>
    <row r="4" spans="1:8" ht="15.75">
      <c r="A4" s="458" t="s">
        <v>130</v>
      </c>
      <c r="B4" s="458"/>
      <c r="C4" s="458"/>
      <c r="D4" s="458"/>
      <c r="E4" s="458"/>
      <c r="F4" s="458"/>
      <c r="G4" s="458"/>
      <c r="H4" s="458"/>
    </row>
    <row r="5" spans="1:8" ht="13.5">
      <c r="A5" s="96"/>
      <c r="B5" s="96"/>
      <c r="C5" s="96"/>
      <c r="D5" s="96"/>
      <c r="E5" s="96"/>
      <c r="F5" s="96"/>
      <c r="G5" s="96"/>
      <c r="H5" s="96"/>
    </row>
    <row r="6" spans="1:8" ht="13.5">
      <c r="A6" s="96"/>
      <c r="B6" s="96"/>
      <c r="C6" s="96"/>
      <c r="D6" s="96"/>
      <c r="E6" s="96"/>
      <c r="F6" s="96"/>
      <c r="G6" s="96"/>
      <c r="H6" s="96"/>
    </row>
    <row r="7" spans="1:8" ht="13.5">
      <c r="A7" s="96"/>
      <c r="B7" s="96"/>
      <c r="C7" s="96"/>
      <c r="D7" s="96"/>
      <c r="E7" s="96"/>
      <c r="F7" s="96"/>
      <c r="G7" s="96"/>
      <c r="H7" s="96"/>
    </row>
    <row r="8" spans="1:8" ht="13.5">
      <c r="A8" s="439"/>
      <c r="B8" s="439"/>
      <c r="C8" s="51">
        <v>2007</v>
      </c>
      <c r="D8" s="97">
        <f>+C8+1</f>
        <v>2008</v>
      </c>
      <c r="E8" s="97">
        <f>+D8+1</f>
        <v>2009</v>
      </c>
      <c r="F8" s="97">
        <f>+E8+1</f>
        <v>2010</v>
      </c>
      <c r="G8" s="97">
        <f>+F8+1</f>
        <v>2011</v>
      </c>
      <c r="H8" s="97">
        <f>+G8+1</f>
        <v>2012</v>
      </c>
    </row>
    <row r="9" spans="1:8" ht="13.5">
      <c r="A9" s="99" t="s">
        <v>248</v>
      </c>
      <c r="B9" s="100"/>
      <c r="C9" s="57"/>
      <c r="D9" s="52">
        <v>0.03</v>
      </c>
      <c r="E9" s="52">
        <v>0.03</v>
      </c>
      <c r="F9" s="52">
        <v>0.03</v>
      </c>
      <c r="G9" s="52">
        <v>0.03</v>
      </c>
      <c r="H9" s="52">
        <v>0.03</v>
      </c>
    </row>
    <row r="10" spans="1:8" ht="13.5">
      <c r="A10" s="101"/>
      <c r="B10" s="101"/>
      <c r="C10" s="101"/>
      <c r="D10" s="101"/>
      <c r="E10" s="101"/>
      <c r="F10" s="101"/>
      <c r="G10" s="101"/>
      <c r="H10" s="101"/>
    </row>
    <row r="11" spans="1:8" ht="13.5">
      <c r="A11" s="101"/>
      <c r="B11" s="101"/>
      <c r="C11" s="101"/>
      <c r="D11" s="101"/>
      <c r="E11" s="101"/>
      <c r="F11" s="101"/>
      <c r="G11" s="101"/>
      <c r="H11" s="101"/>
    </row>
    <row r="12" spans="1:8" ht="13.5">
      <c r="A12" s="437" t="s">
        <v>298</v>
      </c>
      <c r="B12" s="438"/>
      <c r="C12" s="97">
        <f aca="true" t="shared" si="0" ref="C12:H12">+C8</f>
        <v>2007</v>
      </c>
      <c r="D12" s="97">
        <f t="shared" si="0"/>
        <v>2008</v>
      </c>
      <c r="E12" s="97">
        <f t="shared" si="0"/>
        <v>2009</v>
      </c>
      <c r="F12" s="97">
        <f t="shared" si="0"/>
        <v>2010</v>
      </c>
      <c r="G12" s="97">
        <f t="shared" si="0"/>
        <v>2011</v>
      </c>
      <c r="H12" s="97">
        <f t="shared" si="0"/>
        <v>2012</v>
      </c>
    </row>
    <row r="13" spans="1:8" ht="13.5">
      <c r="A13" s="456" t="s">
        <v>244</v>
      </c>
      <c r="B13" s="457"/>
      <c r="C13" s="424">
        <f aca="true" t="shared" si="1" ref="C13:H13">+C16*C14</f>
        <v>0</v>
      </c>
      <c r="D13" s="424">
        <f t="shared" si="1"/>
        <v>0</v>
      </c>
      <c r="E13" s="424">
        <f t="shared" si="1"/>
        <v>0</v>
      </c>
      <c r="F13" s="424">
        <f t="shared" si="1"/>
        <v>0</v>
      </c>
      <c r="G13" s="424">
        <f t="shared" si="1"/>
        <v>0</v>
      </c>
      <c r="H13" s="424">
        <f t="shared" si="1"/>
        <v>0</v>
      </c>
    </row>
    <row r="14" spans="1:8" ht="13.5">
      <c r="A14" s="102" t="s">
        <v>5</v>
      </c>
      <c r="B14" s="103"/>
      <c r="C14" s="425"/>
      <c r="D14" s="426">
        <f>+C14*(1+D15)</f>
        <v>0</v>
      </c>
      <c r="E14" s="426">
        <f>+D14*(1+E15)</f>
        <v>0</v>
      </c>
      <c r="F14" s="426">
        <f>+E14*(1+F15)</f>
        <v>0</v>
      </c>
      <c r="G14" s="426">
        <f>+F14*(1+G15)</f>
        <v>0</v>
      </c>
      <c r="H14" s="426">
        <f>+G14*(1+H15)</f>
        <v>0</v>
      </c>
    </row>
    <row r="15" spans="1:8" ht="13.5">
      <c r="A15" s="102" t="s">
        <v>151</v>
      </c>
      <c r="B15" s="103"/>
      <c r="C15" s="427"/>
      <c r="D15" s="428"/>
      <c r="E15" s="428"/>
      <c r="F15" s="428"/>
      <c r="G15" s="428"/>
      <c r="H15" s="428"/>
    </row>
    <row r="16" spans="1:8" ht="13.5">
      <c r="A16" s="102" t="s">
        <v>6</v>
      </c>
      <c r="B16" s="103"/>
      <c r="C16" s="429"/>
      <c r="D16" s="430">
        <f>+C16*(1+D9)</f>
        <v>0</v>
      </c>
      <c r="E16" s="430">
        <f>+D16*(1+E9)</f>
        <v>0</v>
      </c>
      <c r="F16" s="430">
        <f>+E16*(1+F9)</f>
        <v>0</v>
      </c>
      <c r="G16" s="430">
        <f>+F16*(1+G9)</f>
        <v>0</v>
      </c>
      <c r="H16" s="430">
        <f>+G16*(1+H9)</f>
        <v>0</v>
      </c>
    </row>
    <row r="17" spans="1:8" ht="13.5">
      <c r="A17" s="456" t="s">
        <v>245</v>
      </c>
      <c r="B17" s="457"/>
      <c r="C17" s="424">
        <f aca="true" t="shared" si="2" ref="C17:H17">+C20*C18</f>
        <v>0</v>
      </c>
      <c r="D17" s="424">
        <f t="shared" si="2"/>
        <v>0</v>
      </c>
      <c r="E17" s="424">
        <f t="shared" si="2"/>
        <v>0</v>
      </c>
      <c r="F17" s="424">
        <f t="shared" si="2"/>
        <v>0</v>
      </c>
      <c r="G17" s="424">
        <f t="shared" si="2"/>
        <v>0</v>
      </c>
      <c r="H17" s="424">
        <f t="shared" si="2"/>
        <v>0</v>
      </c>
    </row>
    <row r="18" spans="1:8" ht="13.5">
      <c r="A18" s="102" t="s">
        <v>5</v>
      </c>
      <c r="B18" s="103"/>
      <c r="C18" s="425"/>
      <c r="D18" s="426">
        <f>+C18*(1+D19)</f>
        <v>0</v>
      </c>
      <c r="E18" s="426">
        <f>+D18*(1+E19)</f>
        <v>0</v>
      </c>
      <c r="F18" s="426">
        <f>+E18*(1+F19)</f>
        <v>0</v>
      </c>
      <c r="G18" s="426">
        <f>+F18*(1+G19)</f>
        <v>0</v>
      </c>
      <c r="H18" s="426">
        <f>+G18*(1+H19)</f>
        <v>0</v>
      </c>
    </row>
    <row r="19" spans="1:8" ht="13.5">
      <c r="A19" s="102" t="s">
        <v>151</v>
      </c>
      <c r="B19" s="103"/>
      <c r="C19" s="427"/>
      <c r="D19" s="428"/>
      <c r="E19" s="428"/>
      <c r="F19" s="428"/>
      <c r="G19" s="428"/>
      <c r="H19" s="428"/>
    </row>
    <row r="20" spans="1:8" ht="13.5">
      <c r="A20" s="102" t="s">
        <v>6</v>
      </c>
      <c r="B20" s="103"/>
      <c r="C20" s="429"/>
      <c r="D20" s="430">
        <f>+C20*(1+D9)</f>
        <v>0</v>
      </c>
      <c r="E20" s="430">
        <f>+D20*(1+E9)</f>
        <v>0</v>
      </c>
      <c r="F20" s="430">
        <f>+E20*(1+F9)</f>
        <v>0</v>
      </c>
      <c r="G20" s="430">
        <f>+F20*(1+G9)</f>
        <v>0</v>
      </c>
      <c r="H20" s="430">
        <f>+G20*(1+H9)</f>
        <v>0</v>
      </c>
    </row>
    <row r="21" spans="1:8" ht="13.5">
      <c r="A21" s="456" t="s">
        <v>246</v>
      </c>
      <c r="B21" s="457"/>
      <c r="C21" s="424">
        <f aca="true" t="shared" si="3" ref="C21:H21">+C24*C22</f>
        <v>0</v>
      </c>
      <c r="D21" s="424">
        <f t="shared" si="3"/>
        <v>0</v>
      </c>
      <c r="E21" s="424">
        <f t="shared" si="3"/>
        <v>0</v>
      </c>
      <c r="F21" s="424">
        <f t="shared" si="3"/>
        <v>0</v>
      </c>
      <c r="G21" s="424">
        <f t="shared" si="3"/>
        <v>0</v>
      </c>
      <c r="H21" s="424">
        <f t="shared" si="3"/>
        <v>0</v>
      </c>
    </row>
    <row r="22" spans="1:8" ht="13.5">
      <c r="A22" s="102" t="s">
        <v>5</v>
      </c>
      <c r="B22" s="103"/>
      <c r="C22" s="425"/>
      <c r="D22" s="426">
        <f>+C22*(1+D23)</f>
        <v>0</v>
      </c>
      <c r="E22" s="426">
        <f>+D22*(1+E23)</f>
        <v>0</v>
      </c>
      <c r="F22" s="426">
        <f>+E22*(1+F23)</f>
        <v>0</v>
      </c>
      <c r="G22" s="426">
        <f>+F22*(1+G23)</f>
        <v>0</v>
      </c>
      <c r="H22" s="426">
        <f>+G22*(1+H23)</f>
        <v>0</v>
      </c>
    </row>
    <row r="23" spans="1:8" ht="13.5">
      <c r="A23" s="102" t="s">
        <v>151</v>
      </c>
      <c r="B23" s="103"/>
      <c r="C23" s="427"/>
      <c r="D23" s="428"/>
      <c r="E23" s="428"/>
      <c r="F23" s="428"/>
      <c r="G23" s="428"/>
      <c r="H23" s="428"/>
    </row>
    <row r="24" spans="1:8" ht="13.5">
      <c r="A24" s="102" t="s">
        <v>6</v>
      </c>
      <c r="B24" s="103"/>
      <c r="C24" s="429"/>
      <c r="D24" s="430">
        <f>+C24*(1+D9)</f>
        <v>0</v>
      </c>
      <c r="E24" s="430">
        <f>+D24*(1+E9)</f>
        <v>0</v>
      </c>
      <c r="F24" s="430">
        <f>+E24*(1+F9)</f>
        <v>0</v>
      </c>
      <c r="G24" s="430">
        <f>+F24*(1+G9)</f>
        <v>0</v>
      </c>
      <c r="H24" s="430">
        <f>+G24*(1+H9)</f>
        <v>0</v>
      </c>
    </row>
    <row r="25" spans="1:8" ht="13.5">
      <c r="A25" s="456" t="s">
        <v>247</v>
      </c>
      <c r="B25" s="457"/>
      <c r="C25" s="424">
        <f aca="true" t="shared" si="4" ref="C25:H25">+C28*C26</f>
        <v>0</v>
      </c>
      <c r="D25" s="424">
        <f t="shared" si="4"/>
        <v>0</v>
      </c>
      <c r="E25" s="424">
        <f t="shared" si="4"/>
        <v>0</v>
      </c>
      <c r="F25" s="424">
        <f t="shared" si="4"/>
        <v>0</v>
      </c>
      <c r="G25" s="424">
        <f t="shared" si="4"/>
        <v>0</v>
      </c>
      <c r="H25" s="424">
        <f t="shared" si="4"/>
        <v>0</v>
      </c>
    </row>
    <row r="26" spans="1:8" ht="13.5">
      <c r="A26" s="102" t="s">
        <v>5</v>
      </c>
      <c r="B26" s="103"/>
      <c r="C26" s="425"/>
      <c r="D26" s="426">
        <f>+C26*(1+D27)</f>
        <v>0</v>
      </c>
      <c r="E26" s="426">
        <f>+D26*(1+E27)</f>
        <v>0</v>
      </c>
      <c r="F26" s="426">
        <f>+E26*(1+F27)</f>
        <v>0</v>
      </c>
      <c r="G26" s="426">
        <f>+F26*(1+G27)</f>
        <v>0</v>
      </c>
      <c r="H26" s="426">
        <f>+G26*(1+H27)</f>
        <v>0</v>
      </c>
    </row>
    <row r="27" spans="1:8" ht="13.5">
      <c r="A27" s="102" t="s">
        <v>151</v>
      </c>
      <c r="B27" s="103"/>
      <c r="C27" s="427"/>
      <c r="D27" s="428"/>
      <c r="E27" s="428"/>
      <c r="F27" s="428"/>
      <c r="G27" s="428"/>
      <c r="H27" s="428"/>
    </row>
    <row r="28" spans="1:8" ht="13.5">
      <c r="A28" s="102" t="s">
        <v>6</v>
      </c>
      <c r="B28" s="103"/>
      <c r="C28" s="429"/>
      <c r="D28" s="430">
        <f>+C28*(1+D9)</f>
        <v>0</v>
      </c>
      <c r="E28" s="430">
        <f>+D28*(1+E9)</f>
        <v>0</v>
      </c>
      <c r="F28" s="430">
        <f>+E28*(1+F9)</f>
        <v>0</v>
      </c>
      <c r="G28" s="430">
        <f>+F28*(1+G9)</f>
        <v>0</v>
      </c>
      <c r="H28" s="430">
        <f>+G28*(1+H9)</f>
        <v>0</v>
      </c>
    </row>
    <row r="29" spans="1:8" ht="14.25" thickBot="1">
      <c r="A29" s="459" t="s">
        <v>174</v>
      </c>
      <c r="B29" s="436"/>
      <c r="C29" s="59">
        <f aca="true" t="shared" si="5" ref="C29:H29">+C13+C17+C21+C25</f>
        <v>0</v>
      </c>
      <c r="D29" s="59">
        <f t="shared" si="5"/>
        <v>0</v>
      </c>
      <c r="E29" s="59">
        <f t="shared" si="5"/>
        <v>0</v>
      </c>
      <c r="F29" s="59">
        <f t="shared" si="5"/>
        <v>0</v>
      </c>
      <c r="G29" s="59">
        <f t="shared" si="5"/>
        <v>0</v>
      </c>
      <c r="H29" s="59">
        <f t="shared" si="5"/>
        <v>0</v>
      </c>
    </row>
    <row r="30" spans="1:8" ht="14.25" thickTop="1">
      <c r="A30" s="104"/>
      <c r="B30" s="104"/>
      <c r="C30" s="105"/>
      <c r="D30" s="105"/>
      <c r="E30" s="105"/>
      <c r="F30" s="105"/>
      <c r="G30" s="105"/>
      <c r="H30" s="105"/>
    </row>
    <row r="31" spans="1:8" ht="13.5">
      <c r="A31" s="104"/>
      <c r="B31" s="104"/>
      <c r="C31" s="105"/>
      <c r="D31" s="105"/>
      <c r="E31" s="105"/>
      <c r="F31" s="105"/>
      <c r="G31" s="105"/>
      <c r="H31" s="105"/>
    </row>
    <row r="32" spans="1:8" ht="13.5">
      <c r="A32" s="432" t="s">
        <v>299</v>
      </c>
      <c r="B32" s="432"/>
      <c r="C32" s="97">
        <f aca="true" t="shared" si="6" ref="C32:H32">+C8</f>
        <v>2007</v>
      </c>
      <c r="D32" s="97">
        <f t="shared" si="6"/>
        <v>2008</v>
      </c>
      <c r="E32" s="97">
        <f t="shared" si="6"/>
        <v>2009</v>
      </c>
      <c r="F32" s="97">
        <f t="shared" si="6"/>
        <v>2010</v>
      </c>
      <c r="G32" s="97">
        <f t="shared" si="6"/>
        <v>2011</v>
      </c>
      <c r="H32" s="97">
        <f t="shared" si="6"/>
        <v>2012</v>
      </c>
    </row>
    <row r="33" spans="1:8" ht="13.5">
      <c r="A33" s="456" t="s">
        <v>244</v>
      </c>
      <c r="B33" s="457"/>
      <c r="C33" s="424">
        <f aca="true" t="shared" si="7" ref="C33:H33">+C36*C34</f>
        <v>0</v>
      </c>
      <c r="D33" s="424">
        <f t="shared" si="7"/>
        <v>0</v>
      </c>
      <c r="E33" s="424">
        <f t="shared" si="7"/>
        <v>0</v>
      </c>
      <c r="F33" s="424">
        <f t="shared" si="7"/>
        <v>0</v>
      </c>
      <c r="G33" s="424">
        <f t="shared" si="7"/>
        <v>0</v>
      </c>
      <c r="H33" s="424">
        <f t="shared" si="7"/>
        <v>0</v>
      </c>
    </row>
    <row r="34" spans="1:8" ht="13.5">
      <c r="A34" s="102" t="s">
        <v>5</v>
      </c>
      <c r="B34" s="103"/>
      <c r="C34" s="425"/>
      <c r="D34" s="426">
        <f>+C34*(1+D35)</f>
        <v>0</v>
      </c>
      <c r="E34" s="426">
        <f>+D34*(1+E35)</f>
        <v>0</v>
      </c>
      <c r="F34" s="426">
        <f>+E34*(1+F35)</f>
        <v>0</v>
      </c>
      <c r="G34" s="426">
        <f>+F34*(1+G35)</f>
        <v>0</v>
      </c>
      <c r="H34" s="426">
        <f>+G34*(1+H35)</f>
        <v>0</v>
      </c>
    </row>
    <row r="35" spans="1:8" ht="13.5">
      <c r="A35" s="102" t="s">
        <v>151</v>
      </c>
      <c r="B35" s="103"/>
      <c r="C35" s="427"/>
      <c r="D35" s="428"/>
      <c r="E35" s="428"/>
      <c r="F35" s="428"/>
      <c r="G35" s="428"/>
      <c r="H35" s="428"/>
    </row>
    <row r="36" spans="1:8" ht="13.5">
      <c r="A36" s="102" t="s">
        <v>6</v>
      </c>
      <c r="B36" s="103"/>
      <c r="C36" s="429"/>
      <c r="D36" s="430">
        <f>+C36*(1+D9)</f>
        <v>0</v>
      </c>
      <c r="E36" s="430">
        <f>+D36*(1+E9)</f>
        <v>0</v>
      </c>
      <c r="F36" s="430">
        <f>+E36*(1+F9)</f>
        <v>0</v>
      </c>
      <c r="G36" s="430">
        <f>+F36*(1+G9)</f>
        <v>0</v>
      </c>
      <c r="H36" s="430">
        <f>+G36*(1+H9)</f>
        <v>0</v>
      </c>
    </row>
    <row r="37" spans="1:8" ht="13.5">
      <c r="A37" s="456" t="s">
        <v>245</v>
      </c>
      <c r="B37" s="457"/>
      <c r="C37" s="424">
        <f aca="true" t="shared" si="8" ref="C37:H37">+C40*C38</f>
        <v>0</v>
      </c>
      <c r="D37" s="424">
        <f t="shared" si="8"/>
        <v>0</v>
      </c>
      <c r="E37" s="424">
        <f t="shared" si="8"/>
        <v>0</v>
      </c>
      <c r="F37" s="424">
        <f t="shared" si="8"/>
        <v>0</v>
      </c>
      <c r="G37" s="424">
        <f t="shared" si="8"/>
        <v>0</v>
      </c>
      <c r="H37" s="424">
        <f t="shared" si="8"/>
        <v>0</v>
      </c>
    </row>
    <row r="38" spans="1:8" ht="13.5">
      <c r="A38" s="102" t="s">
        <v>5</v>
      </c>
      <c r="B38" s="103"/>
      <c r="C38" s="425"/>
      <c r="D38" s="426">
        <f>+C38*(1+D39)</f>
        <v>0</v>
      </c>
      <c r="E38" s="426">
        <f>+D38*(1+E39)</f>
        <v>0</v>
      </c>
      <c r="F38" s="426">
        <f>+E38*(1+F39)</f>
        <v>0</v>
      </c>
      <c r="G38" s="426">
        <f>+F38*(1+G39)</f>
        <v>0</v>
      </c>
      <c r="H38" s="426">
        <f>+G38*(1+H39)</f>
        <v>0</v>
      </c>
    </row>
    <row r="39" spans="1:8" ht="13.5">
      <c r="A39" s="102" t="s">
        <v>151</v>
      </c>
      <c r="B39" s="103"/>
      <c r="C39" s="427"/>
      <c r="D39" s="428"/>
      <c r="E39" s="428"/>
      <c r="F39" s="428"/>
      <c r="G39" s="428"/>
      <c r="H39" s="428"/>
    </row>
    <row r="40" spans="1:8" ht="13.5">
      <c r="A40" s="102" t="s">
        <v>6</v>
      </c>
      <c r="B40" s="103"/>
      <c r="C40" s="429"/>
      <c r="D40" s="430">
        <f>+C40*(1+D9)</f>
        <v>0</v>
      </c>
      <c r="E40" s="430">
        <f>+D40*(1+E9)</f>
        <v>0</v>
      </c>
      <c r="F40" s="430">
        <f>+E40*(1+F9)</f>
        <v>0</v>
      </c>
      <c r="G40" s="430">
        <f>+F40*(1+G9)</f>
        <v>0</v>
      </c>
      <c r="H40" s="430">
        <f>+G40*(1+H9)</f>
        <v>0</v>
      </c>
    </row>
    <row r="41" spans="1:8" ht="14.25" thickBot="1">
      <c r="A41" s="434" t="s">
        <v>174</v>
      </c>
      <c r="B41" s="434"/>
      <c r="C41" s="59">
        <f aca="true" t="shared" si="9" ref="C41:H41">+C33+C37</f>
        <v>0</v>
      </c>
      <c r="D41" s="59">
        <f t="shared" si="9"/>
        <v>0</v>
      </c>
      <c r="E41" s="59">
        <f t="shared" si="9"/>
        <v>0</v>
      </c>
      <c r="F41" s="59">
        <f t="shared" si="9"/>
        <v>0</v>
      </c>
      <c r="G41" s="59">
        <f t="shared" si="9"/>
        <v>0</v>
      </c>
      <c r="H41" s="59">
        <f t="shared" si="9"/>
        <v>0</v>
      </c>
    </row>
    <row r="42" spans="1:8" ht="14.25" thickTop="1">
      <c r="A42" s="107" t="s">
        <v>243</v>
      </c>
      <c r="B42" s="104"/>
      <c r="C42" s="105"/>
      <c r="D42" s="105"/>
      <c r="E42" s="105"/>
      <c r="F42" s="105"/>
      <c r="G42" s="105"/>
      <c r="H42" s="105"/>
    </row>
    <row r="43" spans="1:10" ht="13.5">
      <c r="A43" s="108" t="s">
        <v>251</v>
      </c>
      <c r="B43" s="109"/>
      <c r="C43" s="110"/>
      <c r="D43" s="110"/>
      <c r="E43" s="110"/>
      <c r="F43" s="110"/>
      <c r="G43" s="110"/>
      <c r="H43" s="110"/>
      <c r="I43" s="111"/>
      <c r="J43" s="111"/>
    </row>
    <row r="44" spans="1:10" ht="13.5">
      <c r="A44" s="101"/>
      <c r="B44" s="109"/>
      <c r="C44" s="110"/>
      <c r="D44" s="110"/>
      <c r="E44" s="110"/>
      <c r="F44" s="110"/>
      <c r="G44" s="110"/>
      <c r="H44" s="110"/>
      <c r="I44" s="111"/>
      <c r="J44" s="111"/>
    </row>
    <row r="45" spans="1:10" ht="13.5">
      <c r="A45" s="432" t="s">
        <v>302</v>
      </c>
      <c r="B45" s="432"/>
      <c r="C45" s="97">
        <f aca="true" t="shared" si="10" ref="C45:H45">+C8</f>
        <v>2007</v>
      </c>
      <c r="D45" s="97">
        <f t="shared" si="10"/>
        <v>2008</v>
      </c>
      <c r="E45" s="97">
        <f t="shared" si="10"/>
        <v>2009</v>
      </c>
      <c r="F45" s="97">
        <f t="shared" si="10"/>
        <v>2010</v>
      </c>
      <c r="G45" s="97">
        <f t="shared" si="10"/>
        <v>2011</v>
      </c>
      <c r="H45" s="97">
        <f t="shared" si="10"/>
        <v>2012</v>
      </c>
      <c r="I45" s="111"/>
      <c r="J45" s="111"/>
    </row>
    <row r="46" spans="1:10" ht="13.5">
      <c r="A46" s="456" t="s">
        <v>147</v>
      </c>
      <c r="B46" s="457"/>
      <c r="C46" s="425"/>
      <c r="D46" s="426">
        <f>+C46*(1+D47)</f>
        <v>0</v>
      </c>
      <c r="E46" s="426">
        <f>+D46*(1+E47)</f>
        <v>0</v>
      </c>
      <c r="F46" s="426">
        <f>+E46*(1+F47)</f>
        <v>0</v>
      </c>
      <c r="G46" s="426">
        <f>+F46*(1+G47)</f>
        <v>0</v>
      </c>
      <c r="H46" s="426">
        <f>+G46*(1+H47)</f>
        <v>0</v>
      </c>
      <c r="I46" s="111"/>
      <c r="J46" s="111"/>
    </row>
    <row r="47" spans="1:10" ht="13.5">
      <c r="A47" s="102" t="s">
        <v>413</v>
      </c>
      <c r="B47" s="103"/>
      <c r="C47" s="427"/>
      <c r="D47" s="428"/>
      <c r="E47" s="428"/>
      <c r="F47" s="428"/>
      <c r="G47" s="428"/>
      <c r="H47" s="428"/>
      <c r="I47" s="111"/>
      <c r="J47" s="111"/>
    </row>
    <row r="48" spans="1:10" ht="13.5">
      <c r="A48" s="456" t="s">
        <v>148</v>
      </c>
      <c r="B48" s="457"/>
      <c r="C48" s="425"/>
      <c r="D48" s="426">
        <f>+C48*(1+D49)</f>
        <v>0</v>
      </c>
      <c r="E48" s="426">
        <f>+D48*(1+E49)</f>
        <v>0</v>
      </c>
      <c r="F48" s="426">
        <f>+E48*(1+F49)</f>
        <v>0</v>
      </c>
      <c r="G48" s="426">
        <f>+F48*(1+G49)</f>
        <v>0</v>
      </c>
      <c r="H48" s="426">
        <f>+G48*(1+H49)</f>
        <v>0</v>
      </c>
      <c r="I48" s="111"/>
      <c r="J48" s="111"/>
    </row>
    <row r="49" spans="1:10" ht="13.5">
      <c r="A49" s="102" t="s">
        <v>413</v>
      </c>
      <c r="B49" s="103"/>
      <c r="C49" s="427"/>
      <c r="D49" s="428"/>
      <c r="E49" s="428"/>
      <c r="F49" s="428"/>
      <c r="G49" s="428"/>
      <c r="H49" s="428"/>
      <c r="I49" s="111"/>
      <c r="J49" s="111"/>
    </row>
    <row r="50" spans="1:10" ht="13.5">
      <c r="A50" s="456" t="s">
        <v>149</v>
      </c>
      <c r="B50" s="457"/>
      <c r="C50" s="425"/>
      <c r="D50" s="426">
        <f>+C50*(1+D51)</f>
        <v>0</v>
      </c>
      <c r="E50" s="426">
        <f>+D50*(1+E51)</f>
        <v>0</v>
      </c>
      <c r="F50" s="426">
        <f>+E50*(1+F51)</f>
        <v>0</v>
      </c>
      <c r="G50" s="426">
        <f>+F50*(1+G51)</f>
        <v>0</v>
      </c>
      <c r="H50" s="426">
        <f>+G50*(1+H51)</f>
        <v>0</v>
      </c>
      <c r="I50" s="111"/>
      <c r="J50" s="111"/>
    </row>
    <row r="51" spans="1:10" ht="13.5">
      <c r="A51" s="102" t="s">
        <v>413</v>
      </c>
      <c r="B51" s="103"/>
      <c r="C51" s="427"/>
      <c r="D51" s="428"/>
      <c r="E51" s="428"/>
      <c r="F51" s="428"/>
      <c r="G51" s="428"/>
      <c r="H51" s="428"/>
      <c r="I51" s="111"/>
      <c r="J51" s="111"/>
    </row>
    <row r="52" spans="1:10" ht="13.5">
      <c r="A52" s="456" t="s">
        <v>150</v>
      </c>
      <c r="B52" s="457"/>
      <c r="C52" s="425"/>
      <c r="D52" s="426">
        <f>+C52*(1+D53)</f>
        <v>0</v>
      </c>
      <c r="E52" s="426">
        <f>+D52*(1+E53)</f>
        <v>0</v>
      </c>
      <c r="F52" s="426">
        <f>+E52*(1+F53)</f>
        <v>0</v>
      </c>
      <c r="G52" s="426">
        <f>+F52*(1+G53)</f>
        <v>0</v>
      </c>
      <c r="H52" s="426">
        <f>+G52*(1+H53)</f>
        <v>0</v>
      </c>
      <c r="I52" s="111"/>
      <c r="J52" s="111"/>
    </row>
    <row r="53" spans="1:10" ht="13.5">
      <c r="A53" s="102" t="s">
        <v>413</v>
      </c>
      <c r="B53" s="103"/>
      <c r="C53" s="427"/>
      <c r="D53" s="428"/>
      <c r="E53" s="428"/>
      <c r="F53" s="428"/>
      <c r="G53" s="428"/>
      <c r="H53" s="428"/>
      <c r="I53" s="111"/>
      <c r="J53" s="111"/>
    </row>
    <row r="54" spans="1:8" ht="14.25" thickBot="1">
      <c r="A54" s="434" t="s">
        <v>174</v>
      </c>
      <c r="B54" s="434"/>
      <c r="C54" s="59">
        <f aca="true" t="shared" si="11" ref="C54:H54">+C46+C48+C50+C52</f>
        <v>0</v>
      </c>
      <c r="D54" s="59">
        <f t="shared" si="11"/>
        <v>0</v>
      </c>
      <c r="E54" s="59">
        <f t="shared" si="11"/>
        <v>0</v>
      </c>
      <c r="F54" s="59">
        <f t="shared" si="11"/>
        <v>0</v>
      </c>
      <c r="G54" s="59">
        <f t="shared" si="11"/>
        <v>0</v>
      </c>
      <c r="H54" s="59">
        <f t="shared" si="11"/>
        <v>0</v>
      </c>
    </row>
    <row r="55" spans="1:10" ht="14.25" thickTop="1">
      <c r="A55" s="113"/>
      <c r="B55" s="114"/>
      <c r="C55" s="110"/>
      <c r="D55" s="110"/>
      <c r="E55" s="110"/>
      <c r="F55" s="110"/>
      <c r="G55" s="110"/>
      <c r="H55" s="110"/>
      <c r="I55" s="111"/>
      <c r="J55" s="111"/>
    </row>
    <row r="56" spans="1:10" ht="13.5">
      <c r="A56" s="113"/>
      <c r="B56" s="114"/>
      <c r="C56" s="110"/>
      <c r="D56" s="110"/>
      <c r="E56" s="110"/>
      <c r="F56" s="110"/>
      <c r="G56" s="110"/>
      <c r="H56" s="110"/>
      <c r="I56" s="111"/>
      <c r="J56" s="111"/>
    </row>
    <row r="57" spans="1:10" ht="13.5">
      <c r="A57" s="432" t="s">
        <v>304</v>
      </c>
      <c r="B57" s="432"/>
      <c r="C57" s="115">
        <f aca="true" t="shared" si="12" ref="C57:H57">+C8</f>
        <v>2007</v>
      </c>
      <c r="D57" s="115">
        <f t="shared" si="12"/>
        <v>2008</v>
      </c>
      <c r="E57" s="115">
        <f t="shared" si="12"/>
        <v>2009</v>
      </c>
      <c r="F57" s="115">
        <f t="shared" si="12"/>
        <v>2010</v>
      </c>
      <c r="G57" s="115">
        <f t="shared" si="12"/>
        <v>2011</v>
      </c>
      <c r="H57" s="115">
        <f t="shared" si="12"/>
        <v>2012</v>
      </c>
      <c r="I57" s="111"/>
      <c r="J57" s="111"/>
    </row>
    <row r="58" spans="1:10" ht="13.5">
      <c r="A58" s="456" t="s">
        <v>147</v>
      </c>
      <c r="B58" s="457"/>
      <c r="C58" s="425"/>
      <c r="D58" s="426">
        <f>+C58*(1+D59)</f>
        <v>0</v>
      </c>
      <c r="E58" s="426">
        <f>+D58*(1+E59)</f>
        <v>0</v>
      </c>
      <c r="F58" s="426">
        <f>+E58*(1+F59)</f>
        <v>0</v>
      </c>
      <c r="G58" s="426">
        <f>+F58*(1+G59)</f>
        <v>0</v>
      </c>
      <c r="H58" s="426">
        <f>+G58*(1+H59)</f>
        <v>0</v>
      </c>
      <c r="I58" s="111"/>
      <c r="J58" s="111"/>
    </row>
    <row r="59" spans="1:10" ht="13.5">
      <c r="A59" s="102" t="s">
        <v>413</v>
      </c>
      <c r="B59" s="103"/>
      <c r="C59" s="427"/>
      <c r="D59" s="428"/>
      <c r="E59" s="428"/>
      <c r="F59" s="428"/>
      <c r="G59" s="428"/>
      <c r="H59" s="428"/>
      <c r="I59" s="111"/>
      <c r="J59" s="111"/>
    </row>
    <row r="60" spans="1:10" ht="13.5">
      <c r="A60" s="456" t="s">
        <v>148</v>
      </c>
      <c r="B60" s="457"/>
      <c r="C60" s="425"/>
      <c r="D60" s="426">
        <f>+C60*(1+D61)</f>
        <v>0</v>
      </c>
      <c r="E60" s="426">
        <f>+D60*(1+E61)</f>
        <v>0</v>
      </c>
      <c r="F60" s="426">
        <f>+E60*(1+F61)</f>
        <v>0</v>
      </c>
      <c r="G60" s="426">
        <f>+F60*(1+G61)</f>
        <v>0</v>
      </c>
      <c r="H60" s="426">
        <f>+G60*(1+H61)</f>
        <v>0</v>
      </c>
      <c r="I60" s="111"/>
      <c r="J60" s="111"/>
    </row>
    <row r="61" spans="1:10" ht="13.5">
      <c r="A61" s="102" t="s">
        <v>413</v>
      </c>
      <c r="B61" s="103"/>
      <c r="C61" s="427"/>
      <c r="D61" s="428"/>
      <c r="E61" s="428"/>
      <c r="F61" s="428"/>
      <c r="G61" s="428"/>
      <c r="H61" s="428"/>
      <c r="I61" s="111"/>
      <c r="J61" s="111"/>
    </row>
    <row r="62" spans="1:10" ht="13.5">
      <c r="A62" s="456" t="s">
        <v>149</v>
      </c>
      <c r="B62" s="457"/>
      <c r="C62" s="425"/>
      <c r="D62" s="426">
        <f>+C62*(1+D63)</f>
        <v>0</v>
      </c>
      <c r="E62" s="426">
        <f>+D62*(1+E63)</f>
        <v>0</v>
      </c>
      <c r="F62" s="426">
        <f>+E62*(1+F63)</f>
        <v>0</v>
      </c>
      <c r="G62" s="426">
        <f>+F62*(1+G63)</f>
        <v>0</v>
      </c>
      <c r="H62" s="426">
        <f>+G62*(1+H63)</f>
        <v>0</v>
      </c>
      <c r="I62" s="111"/>
      <c r="J62" s="111"/>
    </row>
    <row r="63" spans="1:10" ht="13.5">
      <c r="A63" s="102" t="s">
        <v>413</v>
      </c>
      <c r="B63" s="103"/>
      <c r="C63" s="427"/>
      <c r="D63" s="428"/>
      <c r="E63" s="428"/>
      <c r="F63" s="428"/>
      <c r="G63" s="428"/>
      <c r="H63" s="428"/>
      <c r="I63" s="111"/>
      <c r="J63" s="111"/>
    </row>
    <row r="64" spans="1:10" ht="13.5">
      <c r="A64" s="456" t="s">
        <v>150</v>
      </c>
      <c r="B64" s="457"/>
      <c r="C64" s="425"/>
      <c r="D64" s="426">
        <f>+C64*(1+D65)</f>
        <v>0</v>
      </c>
      <c r="E64" s="426">
        <f>+D64*(1+E65)</f>
        <v>0</v>
      </c>
      <c r="F64" s="426">
        <f>+E64*(1+F65)</f>
        <v>0</v>
      </c>
      <c r="G64" s="426">
        <f>+F64*(1+G65)</f>
        <v>0</v>
      </c>
      <c r="H64" s="426">
        <f>+G64*(1+H65)</f>
        <v>0</v>
      </c>
      <c r="I64" s="111"/>
      <c r="J64" s="111"/>
    </row>
    <row r="65" spans="1:10" ht="13.5">
      <c r="A65" s="102" t="s">
        <v>413</v>
      </c>
      <c r="B65" s="103"/>
      <c r="C65" s="427"/>
      <c r="D65" s="428"/>
      <c r="E65" s="428"/>
      <c r="F65" s="428"/>
      <c r="G65" s="428"/>
      <c r="H65" s="428"/>
      <c r="I65" s="111"/>
      <c r="J65" s="111"/>
    </row>
    <row r="66" spans="1:8" ht="14.25" thickBot="1">
      <c r="A66" s="434" t="s">
        <v>174</v>
      </c>
      <c r="B66" s="434"/>
      <c r="C66" s="59">
        <f aca="true" t="shared" si="13" ref="C66:H66">+C58+C60+C62+C64</f>
        <v>0</v>
      </c>
      <c r="D66" s="59">
        <f t="shared" si="13"/>
        <v>0</v>
      </c>
      <c r="E66" s="59">
        <f t="shared" si="13"/>
        <v>0</v>
      </c>
      <c r="F66" s="59">
        <f t="shared" si="13"/>
        <v>0</v>
      </c>
      <c r="G66" s="59">
        <f t="shared" si="13"/>
        <v>0</v>
      </c>
      <c r="H66" s="59">
        <f t="shared" si="13"/>
        <v>0</v>
      </c>
    </row>
    <row r="67" spans="1:10" ht="14.25" thickTop="1">
      <c r="A67" s="113"/>
      <c r="B67" s="114"/>
      <c r="C67" s="110"/>
      <c r="D67" s="110"/>
      <c r="E67" s="110"/>
      <c r="F67" s="110"/>
      <c r="G67" s="110"/>
      <c r="H67" s="110"/>
      <c r="I67" s="111"/>
      <c r="J67" s="111"/>
    </row>
    <row r="68" spans="1:10" ht="13.5">
      <c r="A68" s="113"/>
      <c r="B68" s="114"/>
      <c r="C68" s="110"/>
      <c r="D68" s="110"/>
      <c r="E68" s="110"/>
      <c r="F68" s="110"/>
      <c r="G68" s="110"/>
      <c r="H68" s="110"/>
      <c r="I68" s="111"/>
      <c r="J68" s="111"/>
    </row>
    <row r="69" spans="1:10" ht="13.5">
      <c r="A69" s="433" t="s">
        <v>300</v>
      </c>
      <c r="B69" s="433"/>
      <c r="C69" s="116">
        <f aca="true" t="shared" si="14" ref="C69:H69">+C29</f>
        <v>0</v>
      </c>
      <c r="D69" s="116">
        <f t="shared" si="14"/>
        <v>0</v>
      </c>
      <c r="E69" s="116">
        <f t="shared" si="14"/>
        <v>0</v>
      </c>
      <c r="F69" s="116">
        <f t="shared" si="14"/>
        <v>0</v>
      </c>
      <c r="G69" s="116">
        <f t="shared" si="14"/>
        <v>0</v>
      </c>
      <c r="H69" s="116">
        <f t="shared" si="14"/>
        <v>0</v>
      </c>
      <c r="I69" s="111"/>
      <c r="J69" s="111"/>
    </row>
    <row r="70" spans="1:10" ht="13.5">
      <c r="A70" s="433" t="s">
        <v>301</v>
      </c>
      <c r="B70" s="433"/>
      <c r="C70" s="116">
        <f aca="true" t="shared" si="15" ref="C70:H70">+C41</f>
        <v>0</v>
      </c>
      <c r="D70" s="116">
        <f t="shared" si="15"/>
        <v>0</v>
      </c>
      <c r="E70" s="116">
        <f t="shared" si="15"/>
        <v>0</v>
      </c>
      <c r="F70" s="116">
        <f t="shared" si="15"/>
        <v>0</v>
      </c>
      <c r="G70" s="116">
        <f t="shared" si="15"/>
        <v>0</v>
      </c>
      <c r="H70" s="116">
        <f t="shared" si="15"/>
        <v>0</v>
      </c>
      <c r="I70" s="111"/>
      <c r="J70" s="111"/>
    </row>
    <row r="71" spans="1:10" ht="13.5">
      <c r="A71" s="433" t="s">
        <v>131</v>
      </c>
      <c r="B71" s="433"/>
      <c r="C71" s="123">
        <f aca="true" t="shared" si="16" ref="C71:H71">+C69+C70</f>
        <v>0</v>
      </c>
      <c r="D71" s="123">
        <f t="shared" si="16"/>
        <v>0</v>
      </c>
      <c r="E71" s="123">
        <f t="shared" si="16"/>
        <v>0</v>
      </c>
      <c r="F71" s="123">
        <f t="shared" si="16"/>
        <v>0</v>
      </c>
      <c r="G71" s="123">
        <f t="shared" si="16"/>
        <v>0</v>
      </c>
      <c r="H71" s="123">
        <f t="shared" si="16"/>
        <v>0</v>
      </c>
      <c r="I71" s="111"/>
      <c r="J71" s="111"/>
    </row>
    <row r="72" spans="1:10" ht="14.25" thickBot="1">
      <c r="A72" s="117" t="s">
        <v>249</v>
      </c>
      <c r="B72" s="124">
        <f>+Pressupostos!B15</f>
        <v>0.21</v>
      </c>
      <c r="C72" s="59">
        <f aca="true" t="shared" si="17" ref="C72:H72">+C69*$B$72</f>
        <v>0</v>
      </c>
      <c r="D72" s="59">
        <f t="shared" si="17"/>
        <v>0</v>
      </c>
      <c r="E72" s="59">
        <f t="shared" si="17"/>
        <v>0</v>
      </c>
      <c r="F72" s="59">
        <f t="shared" si="17"/>
        <v>0</v>
      </c>
      <c r="G72" s="59">
        <f t="shared" si="17"/>
        <v>0</v>
      </c>
      <c r="H72" s="59">
        <f t="shared" si="17"/>
        <v>0</v>
      </c>
      <c r="I72" s="111"/>
      <c r="J72" s="111"/>
    </row>
    <row r="73" spans="1:10" ht="14.25" thickTop="1">
      <c r="A73" s="104"/>
      <c r="B73" s="118"/>
      <c r="C73" s="105"/>
      <c r="D73" s="105"/>
      <c r="E73" s="105"/>
      <c r="F73" s="105"/>
      <c r="G73" s="105"/>
      <c r="H73" s="105"/>
      <c r="I73" s="111"/>
      <c r="J73" s="111"/>
    </row>
    <row r="74" spans="1:10" s="120" customFormat="1" ht="13.5">
      <c r="A74" s="104"/>
      <c r="B74" s="118"/>
      <c r="C74" s="105"/>
      <c r="D74" s="105"/>
      <c r="E74" s="105"/>
      <c r="F74" s="105"/>
      <c r="G74" s="105"/>
      <c r="H74" s="105"/>
      <c r="I74" s="119"/>
      <c r="J74" s="119"/>
    </row>
    <row r="75" spans="1:10" ht="13.5">
      <c r="A75" s="433" t="s">
        <v>303</v>
      </c>
      <c r="B75" s="433"/>
      <c r="C75" s="116">
        <f aca="true" t="shared" si="18" ref="C75:H75">+C54</f>
        <v>0</v>
      </c>
      <c r="D75" s="116">
        <f t="shared" si="18"/>
        <v>0</v>
      </c>
      <c r="E75" s="116">
        <f t="shared" si="18"/>
        <v>0</v>
      </c>
      <c r="F75" s="116">
        <f t="shared" si="18"/>
        <v>0</v>
      </c>
      <c r="G75" s="116">
        <f t="shared" si="18"/>
        <v>0</v>
      </c>
      <c r="H75" s="116">
        <f t="shared" si="18"/>
        <v>0</v>
      </c>
      <c r="I75" s="111"/>
      <c r="J75" s="111"/>
    </row>
    <row r="76" spans="1:10" ht="13.5">
      <c r="A76" s="433" t="s">
        <v>305</v>
      </c>
      <c r="B76" s="433"/>
      <c r="C76" s="116">
        <f aca="true" t="shared" si="19" ref="C76:H76">+C66</f>
        <v>0</v>
      </c>
      <c r="D76" s="116">
        <f t="shared" si="19"/>
        <v>0</v>
      </c>
      <c r="E76" s="116">
        <f t="shared" si="19"/>
        <v>0</v>
      </c>
      <c r="F76" s="116">
        <f t="shared" si="19"/>
        <v>0</v>
      </c>
      <c r="G76" s="116">
        <f t="shared" si="19"/>
        <v>0</v>
      </c>
      <c r="H76" s="116">
        <f t="shared" si="19"/>
        <v>0</v>
      </c>
      <c r="I76" s="111"/>
      <c r="J76" s="111"/>
    </row>
    <row r="77" spans="1:10" ht="13.5">
      <c r="A77" s="433" t="s">
        <v>306</v>
      </c>
      <c r="B77" s="433"/>
      <c r="C77" s="123">
        <f aca="true" t="shared" si="20" ref="C77:H77">+C75+C76</f>
        <v>0</v>
      </c>
      <c r="D77" s="123">
        <f t="shared" si="20"/>
        <v>0</v>
      </c>
      <c r="E77" s="123">
        <f t="shared" si="20"/>
        <v>0</v>
      </c>
      <c r="F77" s="123">
        <f t="shared" si="20"/>
        <v>0</v>
      </c>
      <c r="G77" s="123">
        <f t="shared" si="20"/>
        <v>0</v>
      </c>
      <c r="H77" s="123">
        <f t="shared" si="20"/>
        <v>0</v>
      </c>
      <c r="I77" s="111"/>
      <c r="J77" s="111"/>
    </row>
    <row r="78" spans="1:10" ht="14.25" thickBot="1">
      <c r="A78" s="117" t="s">
        <v>250</v>
      </c>
      <c r="B78" s="124">
        <f>+Pressupostos!B16</f>
        <v>0.21</v>
      </c>
      <c r="C78" s="59">
        <f aca="true" t="shared" si="21" ref="C78:H78">+C75*$B$78</f>
        <v>0</v>
      </c>
      <c r="D78" s="59">
        <f t="shared" si="21"/>
        <v>0</v>
      </c>
      <c r="E78" s="59">
        <f t="shared" si="21"/>
        <v>0</v>
      </c>
      <c r="F78" s="59">
        <f t="shared" si="21"/>
        <v>0</v>
      </c>
      <c r="G78" s="59">
        <f t="shared" si="21"/>
        <v>0</v>
      </c>
      <c r="H78" s="59">
        <f t="shared" si="21"/>
        <v>0</v>
      </c>
      <c r="I78" s="111"/>
      <c r="J78" s="111"/>
    </row>
    <row r="79" spans="1:10" ht="14.25" thickTop="1">
      <c r="A79" s="113"/>
      <c r="B79" s="114"/>
      <c r="C79" s="110"/>
      <c r="D79" s="110"/>
      <c r="E79" s="110"/>
      <c r="F79" s="110"/>
      <c r="G79" s="110"/>
      <c r="H79" s="110"/>
      <c r="I79" s="111"/>
      <c r="J79" s="111"/>
    </row>
    <row r="80" spans="1:10" ht="14.25" thickBot="1">
      <c r="A80" s="431" t="s">
        <v>132</v>
      </c>
      <c r="B80" s="431"/>
      <c r="C80" s="59">
        <f aca="true" t="shared" si="22" ref="C80:H80">+C71+C77</f>
        <v>0</v>
      </c>
      <c r="D80" s="59">
        <f t="shared" si="22"/>
        <v>0</v>
      </c>
      <c r="E80" s="59">
        <f t="shared" si="22"/>
        <v>0</v>
      </c>
      <c r="F80" s="59">
        <f t="shared" si="22"/>
        <v>0</v>
      </c>
      <c r="G80" s="59">
        <f t="shared" si="22"/>
        <v>0</v>
      </c>
      <c r="H80" s="59">
        <f t="shared" si="22"/>
        <v>0</v>
      </c>
      <c r="I80" s="111"/>
      <c r="J80" s="111"/>
    </row>
    <row r="81" spans="1:10" ht="14.25" thickTop="1">
      <c r="A81" s="113"/>
      <c r="B81" s="109"/>
      <c r="C81" s="110"/>
      <c r="D81" s="110"/>
      <c r="E81" s="110"/>
      <c r="F81" s="110"/>
      <c r="G81" s="110"/>
      <c r="H81" s="110"/>
      <c r="I81" s="111"/>
      <c r="J81" s="111"/>
    </row>
    <row r="82" spans="1:10" ht="14.25" thickBot="1">
      <c r="A82" s="431" t="s">
        <v>119</v>
      </c>
      <c r="B82" s="431"/>
      <c r="C82" s="59">
        <f aca="true" t="shared" si="23" ref="C82:H82">+C72+C78</f>
        <v>0</v>
      </c>
      <c r="D82" s="59">
        <f t="shared" si="23"/>
        <v>0</v>
      </c>
      <c r="E82" s="59">
        <f t="shared" si="23"/>
        <v>0</v>
      </c>
      <c r="F82" s="59">
        <f t="shared" si="23"/>
        <v>0</v>
      </c>
      <c r="G82" s="59">
        <f t="shared" si="23"/>
        <v>0</v>
      </c>
      <c r="H82" s="59">
        <f t="shared" si="23"/>
        <v>0</v>
      </c>
      <c r="I82" s="111"/>
      <c r="J82" s="111"/>
    </row>
    <row r="83" spans="1:10" ht="14.25" thickTop="1">
      <c r="A83" s="101"/>
      <c r="B83" s="101"/>
      <c r="C83" s="101"/>
      <c r="D83" s="101"/>
      <c r="E83" s="101"/>
      <c r="F83" s="101"/>
      <c r="G83" s="101"/>
      <c r="H83" s="101"/>
      <c r="I83" s="111"/>
      <c r="J83" s="111"/>
    </row>
    <row r="84" spans="1:10" ht="14.25" thickBot="1">
      <c r="A84" s="431" t="s">
        <v>136</v>
      </c>
      <c r="B84" s="431"/>
      <c r="C84" s="59">
        <f aca="true" t="shared" si="24" ref="C84:H84">+C80+C82</f>
        <v>0</v>
      </c>
      <c r="D84" s="59">
        <f t="shared" si="24"/>
        <v>0</v>
      </c>
      <c r="E84" s="59">
        <f t="shared" si="24"/>
        <v>0</v>
      </c>
      <c r="F84" s="59">
        <f t="shared" si="24"/>
        <v>0</v>
      </c>
      <c r="G84" s="59">
        <f t="shared" si="24"/>
        <v>0</v>
      </c>
      <c r="H84" s="59">
        <f t="shared" si="24"/>
        <v>0</v>
      </c>
      <c r="I84" s="111"/>
      <c r="J84" s="111"/>
    </row>
    <row r="85" spans="1:10" ht="14.25" thickTop="1">
      <c r="A85" s="101"/>
      <c r="B85" s="101"/>
      <c r="C85" s="101"/>
      <c r="D85" s="101"/>
      <c r="E85" s="101"/>
      <c r="F85" s="101"/>
      <c r="G85" s="101"/>
      <c r="H85" s="101"/>
      <c r="I85" s="111"/>
      <c r="J85" s="111"/>
    </row>
    <row r="86" spans="1:10" ht="13.5">
      <c r="A86" s="101"/>
      <c r="B86" s="101"/>
      <c r="C86" s="101"/>
      <c r="D86" s="101"/>
      <c r="E86" s="101"/>
      <c r="F86" s="101"/>
      <c r="G86" s="101"/>
      <c r="H86" s="101"/>
      <c r="I86" s="111"/>
      <c r="J86" s="111"/>
    </row>
    <row r="87" spans="1:10" ht="14.25" thickBot="1">
      <c r="A87" s="121" t="s">
        <v>404</v>
      </c>
      <c r="B87" s="70"/>
      <c r="C87" s="59">
        <f aca="true" t="shared" si="25" ref="C87:H87">+$B$87*C84</f>
        <v>0</v>
      </c>
      <c r="D87" s="59">
        <f t="shared" si="25"/>
        <v>0</v>
      </c>
      <c r="E87" s="59">
        <f t="shared" si="25"/>
        <v>0</v>
      </c>
      <c r="F87" s="59">
        <f t="shared" si="25"/>
        <v>0</v>
      </c>
      <c r="G87" s="59">
        <f t="shared" si="25"/>
        <v>0</v>
      </c>
      <c r="H87" s="59">
        <f t="shared" si="25"/>
        <v>0</v>
      </c>
      <c r="I87" s="111"/>
      <c r="J87" s="111"/>
    </row>
    <row r="88" spans="1:8" ht="14.25" thickTop="1">
      <c r="A88" s="101"/>
      <c r="B88" s="101"/>
      <c r="C88" s="101"/>
      <c r="D88" s="101"/>
      <c r="E88" s="101"/>
      <c r="F88" s="101"/>
      <c r="G88" s="101"/>
      <c r="H88" s="101"/>
    </row>
    <row r="89" spans="1:8" ht="13.5">
      <c r="A89" s="111"/>
      <c r="B89" s="111"/>
      <c r="C89" s="111"/>
      <c r="D89" s="111"/>
      <c r="E89" s="111"/>
      <c r="F89" s="111"/>
      <c r="G89" s="111"/>
      <c r="H89" s="111"/>
    </row>
    <row r="90" spans="1:8" ht="13.5">
      <c r="A90" s="111"/>
      <c r="B90" s="111"/>
      <c r="C90" s="111"/>
      <c r="D90" s="111"/>
      <c r="E90" s="111"/>
      <c r="F90" s="111"/>
      <c r="G90" s="111"/>
      <c r="H90" s="111"/>
    </row>
    <row r="91" spans="1:8" ht="13.5">
      <c r="A91" s="111"/>
      <c r="B91" s="111"/>
      <c r="C91" s="111"/>
      <c r="D91" s="111"/>
      <c r="E91" s="111"/>
      <c r="F91" s="111"/>
      <c r="G91" s="111"/>
      <c r="H91" s="111"/>
    </row>
    <row r="92" spans="1:8" ht="13.5">
      <c r="A92" s="111"/>
      <c r="B92" s="111"/>
      <c r="C92" s="111"/>
      <c r="D92" s="111"/>
      <c r="E92" s="111"/>
      <c r="F92" s="111"/>
      <c r="G92" s="111"/>
      <c r="H92" s="111"/>
    </row>
    <row r="93" spans="1:8" ht="13.5">
      <c r="A93" s="111"/>
      <c r="B93" s="111"/>
      <c r="C93" s="111"/>
      <c r="D93" s="111"/>
      <c r="E93" s="111"/>
      <c r="F93" s="111"/>
      <c r="G93" s="111"/>
      <c r="H93" s="111"/>
    </row>
    <row r="94" spans="1:8" ht="13.5">
      <c r="A94" s="111"/>
      <c r="B94" s="111"/>
      <c r="C94" s="111"/>
      <c r="D94" s="111"/>
      <c r="E94" s="111"/>
      <c r="F94" s="111"/>
      <c r="G94" s="111"/>
      <c r="H94" s="111"/>
    </row>
    <row r="95" spans="1:8" ht="13.5">
      <c r="A95" s="111"/>
      <c r="B95" s="111"/>
      <c r="C95" s="111"/>
      <c r="D95" s="111"/>
      <c r="E95" s="111"/>
      <c r="F95" s="111"/>
      <c r="G95" s="111"/>
      <c r="H95" s="111"/>
    </row>
    <row r="96" spans="1:8" ht="13.5">
      <c r="A96" s="111"/>
      <c r="B96" s="111"/>
      <c r="C96" s="111"/>
      <c r="D96" s="111"/>
      <c r="E96" s="111"/>
      <c r="F96" s="111"/>
      <c r="G96" s="111"/>
      <c r="H96" s="111"/>
    </row>
    <row r="97" spans="1:8" ht="13.5">
      <c r="A97" s="111"/>
      <c r="B97" s="111"/>
      <c r="C97" s="111"/>
      <c r="D97" s="111"/>
      <c r="E97" s="111"/>
      <c r="F97" s="111"/>
      <c r="G97" s="111"/>
      <c r="H97" s="111"/>
    </row>
    <row r="98" spans="1:8" ht="13.5">
      <c r="A98" s="111"/>
      <c r="B98" s="111"/>
      <c r="C98" s="111"/>
      <c r="D98" s="111"/>
      <c r="E98" s="111"/>
      <c r="F98" s="111"/>
      <c r="G98" s="111"/>
      <c r="H98" s="111"/>
    </row>
    <row r="99" spans="1:8" ht="13.5">
      <c r="A99" s="111"/>
      <c r="B99" s="111"/>
      <c r="C99" s="111"/>
      <c r="D99" s="111"/>
      <c r="E99" s="111"/>
      <c r="F99" s="111"/>
      <c r="G99" s="111"/>
      <c r="H99" s="111"/>
    </row>
    <row r="100" spans="1:8" ht="13.5">
      <c r="A100" s="111"/>
      <c r="B100" s="111"/>
      <c r="C100" s="111"/>
      <c r="D100" s="111"/>
      <c r="E100" s="111"/>
      <c r="F100" s="111"/>
      <c r="G100" s="111"/>
      <c r="H100" s="111"/>
    </row>
    <row r="101" spans="1:8" ht="13.5">
      <c r="A101" s="111"/>
      <c r="B101" s="111"/>
      <c r="C101" s="111"/>
      <c r="D101" s="111"/>
      <c r="E101" s="111"/>
      <c r="F101" s="111"/>
      <c r="G101" s="111"/>
      <c r="H101" s="111"/>
    </row>
    <row r="102" spans="1:8" ht="13.5">
      <c r="A102" s="111"/>
      <c r="B102" s="111"/>
      <c r="C102" s="111"/>
      <c r="D102" s="111"/>
      <c r="E102" s="111"/>
      <c r="F102" s="111"/>
      <c r="G102" s="111"/>
      <c r="H102" s="111"/>
    </row>
    <row r="103" spans="1:8" ht="13.5">
      <c r="A103" s="111"/>
      <c r="B103" s="111"/>
      <c r="C103" s="111"/>
      <c r="D103" s="111"/>
      <c r="E103" s="111"/>
      <c r="F103" s="111"/>
      <c r="G103" s="111"/>
      <c r="H103" s="111"/>
    </row>
    <row r="104" spans="1:8" ht="13.5">
      <c r="A104" s="111"/>
      <c r="B104" s="111"/>
      <c r="C104" s="111"/>
      <c r="D104" s="111"/>
      <c r="E104" s="111"/>
      <c r="F104" s="111"/>
      <c r="G104" s="111"/>
      <c r="H104" s="111"/>
    </row>
    <row r="105" spans="1:8" ht="13.5">
      <c r="A105" s="111"/>
      <c r="B105" s="111"/>
      <c r="C105" s="111"/>
      <c r="D105" s="111"/>
      <c r="E105" s="111"/>
      <c r="F105" s="111"/>
      <c r="G105" s="111"/>
      <c r="H105" s="111"/>
    </row>
    <row r="106" spans="1:8" ht="13.5">
      <c r="A106" s="111"/>
      <c r="B106" s="111"/>
      <c r="C106" s="111"/>
      <c r="D106" s="111"/>
      <c r="E106" s="111"/>
      <c r="F106" s="111"/>
      <c r="G106" s="111"/>
      <c r="H106" s="111"/>
    </row>
    <row r="107" spans="1:8" ht="13.5">
      <c r="A107" s="111"/>
      <c r="B107" s="111"/>
      <c r="C107" s="111"/>
      <c r="D107" s="111"/>
      <c r="E107" s="111"/>
      <c r="F107" s="111"/>
      <c r="G107" s="111"/>
      <c r="H107" s="111"/>
    </row>
    <row r="108" spans="1:8" ht="13.5">
      <c r="A108" s="111"/>
      <c r="B108" s="111"/>
      <c r="C108" s="111"/>
      <c r="D108" s="111"/>
      <c r="E108" s="111"/>
      <c r="F108" s="111"/>
      <c r="G108" s="111"/>
      <c r="H108" s="111"/>
    </row>
    <row r="109" spans="1:8" ht="13.5">
      <c r="A109" s="111"/>
      <c r="B109" s="111"/>
      <c r="C109" s="111"/>
      <c r="D109" s="111"/>
      <c r="E109" s="111"/>
      <c r="F109" s="111"/>
      <c r="G109" s="111"/>
      <c r="H109" s="111"/>
    </row>
    <row r="110" spans="1:8" ht="13.5">
      <c r="A110" s="111"/>
      <c r="B110" s="111"/>
      <c r="C110" s="111"/>
      <c r="D110" s="111"/>
      <c r="E110" s="111"/>
      <c r="F110" s="111"/>
      <c r="G110" s="111"/>
      <c r="H110" s="111"/>
    </row>
    <row r="111" spans="1:8" ht="13.5">
      <c r="A111" s="111"/>
      <c r="B111" s="111"/>
      <c r="C111" s="111"/>
      <c r="D111" s="111"/>
      <c r="E111" s="111"/>
      <c r="F111" s="111"/>
      <c r="G111" s="111"/>
      <c r="H111" s="111"/>
    </row>
    <row r="112" spans="1:8" ht="13.5">
      <c r="A112" s="111"/>
      <c r="B112" s="111"/>
      <c r="C112" s="111"/>
      <c r="D112" s="111"/>
      <c r="E112" s="111"/>
      <c r="F112" s="111"/>
      <c r="G112" s="111"/>
      <c r="H112" s="111"/>
    </row>
    <row r="113" spans="1:8" ht="13.5">
      <c r="A113" s="111"/>
      <c r="B113" s="111"/>
      <c r="C113" s="111"/>
      <c r="D113" s="111"/>
      <c r="E113" s="111"/>
      <c r="F113" s="111"/>
      <c r="G113" s="111"/>
      <c r="H113" s="111"/>
    </row>
    <row r="114" spans="1:8" ht="13.5">
      <c r="A114" s="111"/>
      <c r="B114" s="111"/>
      <c r="C114" s="111"/>
      <c r="D114" s="111"/>
      <c r="E114" s="111"/>
      <c r="F114" s="111"/>
      <c r="G114" s="111"/>
      <c r="H114" s="111"/>
    </row>
    <row r="115" spans="1:8" ht="13.5">
      <c r="A115" s="111"/>
      <c r="B115" s="111"/>
      <c r="C115" s="111"/>
      <c r="D115" s="111"/>
      <c r="E115" s="111"/>
      <c r="F115" s="111"/>
      <c r="G115" s="111"/>
      <c r="H115" s="111"/>
    </row>
    <row r="116" spans="1:8" ht="13.5">
      <c r="A116" s="111"/>
      <c r="B116" s="111"/>
      <c r="C116" s="111"/>
      <c r="D116" s="111"/>
      <c r="E116" s="111"/>
      <c r="F116" s="111"/>
      <c r="G116" s="111"/>
      <c r="H116" s="111"/>
    </row>
    <row r="117" spans="1:8" ht="13.5">
      <c r="A117" s="111"/>
      <c r="B117" s="111"/>
      <c r="C117" s="111"/>
      <c r="D117" s="111"/>
      <c r="E117" s="111"/>
      <c r="F117" s="111"/>
      <c r="G117" s="111"/>
      <c r="H117" s="111"/>
    </row>
    <row r="118" spans="1:8" ht="13.5">
      <c r="A118" s="111"/>
      <c r="B118" s="111"/>
      <c r="C118" s="111"/>
      <c r="D118" s="111"/>
      <c r="E118" s="111"/>
      <c r="F118" s="111"/>
      <c r="G118" s="111"/>
      <c r="H118" s="111"/>
    </row>
    <row r="119" spans="1:8" ht="13.5">
      <c r="A119" s="111"/>
      <c r="B119" s="111"/>
      <c r="C119" s="111"/>
      <c r="D119" s="111"/>
      <c r="E119" s="111"/>
      <c r="F119" s="111"/>
      <c r="G119" s="111"/>
      <c r="H119" s="111"/>
    </row>
    <row r="120" spans="1:8" ht="13.5">
      <c r="A120" s="111"/>
      <c r="B120" s="111"/>
      <c r="C120" s="111"/>
      <c r="D120" s="111"/>
      <c r="E120" s="111"/>
      <c r="F120" s="111"/>
      <c r="G120" s="111"/>
      <c r="H120" s="111"/>
    </row>
    <row r="121" spans="1:8" ht="13.5">
      <c r="A121" s="111"/>
      <c r="B121" s="111"/>
      <c r="C121" s="111"/>
      <c r="D121" s="111"/>
      <c r="E121" s="111"/>
      <c r="F121" s="111"/>
      <c r="G121" s="111"/>
      <c r="H121" s="111"/>
    </row>
    <row r="122" spans="1:8" ht="13.5">
      <c r="A122" s="111"/>
      <c r="B122" s="111"/>
      <c r="C122" s="111"/>
      <c r="D122" s="111"/>
      <c r="E122" s="111"/>
      <c r="F122" s="111"/>
      <c r="G122" s="111"/>
      <c r="H122" s="111"/>
    </row>
    <row r="123" spans="1:8" ht="13.5">
      <c r="A123" s="111"/>
      <c r="B123" s="111"/>
      <c r="C123" s="111"/>
      <c r="D123" s="111"/>
      <c r="E123" s="111"/>
      <c r="F123" s="111"/>
      <c r="G123" s="111"/>
      <c r="H123" s="111"/>
    </row>
    <row r="124" spans="1:8" ht="13.5">
      <c r="A124" s="111"/>
      <c r="B124" s="111"/>
      <c r="C124" s="111"/>
      <c r="D124" s="111"/>
      <c r="E124" s="111"/>
      <c r="F124" s="111"/>
      <c r="G124" s="111"/>
      <c r="H124" s="111"/>
    </row>
    <row r="125" spans="1:8" ht="13.5">
      <c r="A125" s="111"/>
      <c r="B125" s="111"/>
      <c r="C125" s="111"/>
      <c r="D125" s="111"/>
      <c r="E125" s="111"/>
      <c r="F125" s="111"/>
      <c r="G125" s="111"/>
      <c r="H125" s="111"/>
    </row>
    <row r="126" spans="1:8" ht="13.5">
      <c r="A126" s="111"/>
      <c r="B126" s="111"/>
      <c r="C126" s="111"/>
      <c r="D126" s="111"/>
      <c r="E126" s="111"/>
      <c r="F126" s="111"/>
      <c r="G126" s="111"/>
      <c r="H126" s="111"/>
    </row>
    <row r="127" spans="1:8" ht="13.5">
      <c r="A127" s="111"/>
      <c r="B127" s="111"/>
      <c r="C127" s="111"/>
      <c r="D127" s="111"/>
      <c r="E127" s="111"/>
      <c r="F127" s="111"/>
      <c r="G127" s="111"/>
      <c r="H127" s="111"/>
    </row>
    <row r="128" spans="1:8" ht="13.5">
      <c r="A128" s="111"/>
      <c r="B128" s="111"/>
      <c r="C128" s="111"/>
      <c r="D128" s="111"/>
      <c r="E128" s="111"/>
      <c r="F128" s="111"/>
      <c r="G128" s="111"/>
      <c r="H128" s="111"/>
    </row>
    <row r="129" spans="1:8" ht="13.5">
      <c r="A129" s="111"/>
      <c r="B129" s="111"/>
      <c r="C129" s="111"/>
      <c r="D129" s="111"/>
      <c r="E129" s="111"/>
      <c r="F129" s="111"/>
      <c r="G129" s="111"/>
      <c r="H129" s="111"/>
    </row>
    <row r="130" spans="1:8" ht="13.5">
      <c r="A130" s="111"/>
      <c r="B130" s="111"/>
      <c r="C130" s="111"/>
      <c r="D130" s="111"/>
      <c r="E130" s="111"/>
      <c r="F130" s="111"/>
      <c r="G130" s="111"/>
      <c r="H130" s="111"/>
    </row>
    <row r="131" spans="1:8" ht="13.5">
      <c r="A131" s="111"/>
      <c r="B131" s="111"/>
      <c r="C131" s="111"/>
      <c r="D131" s="111"/>
      <c r="E131" s="111"/>
      <c r="F131" s="111"/>
      <c r="G131" s="111"/>
      <c r="H131" s="111"/>
    </row>
    <row r="132" spans="1:8" ht="13.5">
      <c r="A132" s="111"/>
      <c r="B132" s="111"/>
      <c r="C132" s="111"/>
      <c r="D132" s="111"/>
      <c r="E132" s="111"/>
      <c r="F132" s="111"/>
      <c r="G132" s="111"/>
      <c r="H132" s="111"/>
    </row>
    <row r="133" spans="1:8" ht="13.5">
      <c r="A133" s="111"/>
      <c r="B133" s="111"/>
      <c r="C133" s="111"/>
      <c r="D133" s="111"/>
      <c r="E133" s="111"/>
      <c r="F133" s="111"/>
      <c r="G133" s="111"/>
      <c r="H133" s="111"/>
    </row>
    <row r="134" spans="1:8" ht="13.5">
      <c r="A134" s="111"/>
      <c r="B134" s="111"/>
      <c r="C134" s="111"/>
      <c r="D134" s="111"/>
      <c r="E134" s="111"/>
      <c r="F134" s="111"/>
      <c r="G134" s="111"/>
      <c r="H134" s="111"/>
    </row>
    <row r="135" spans="1:8" ht="13.5">
      <c r="A135" s="111"/>
      <c r="B135" s="111"/>
      <c r="C135" s="111"/>
      <c r="D135" s="111"/>
      <c r="E135" s="111"/>
      <c r="F135" s="111"/>
      <c r="G135" s="111"/>
      <c r="H135" s="111"/>
    </row>
    <row r="136" spans="1:8" ht="13.5">
      <c r="A136" s="111"/>
      <c r="B136" s="111"/>
      <c r="C136" s="111"/>
      <c r="D136" s="111"/>
      <c r="E136" s="111"/>
      <c r="F136" s="111"/>
      <c r="G136" s="111"/>
      <c r="H136" s="111"/>
    </row>
    <row r="137" spans="1:8" ht="13.5">
      <c r="A137" s="111"/>
      <c r="B137" s="111"/>
      <c r="C137" s="111"/>
      <c r="D137" s="111"/>
      <c r="E137" s="111"/>
      <c r="F137" s="111"/>
      <c r="G137" s="111"/>
      <c r="H137" s="111"/>
    </row>
    <row r="138" spans="1:8" ht="13.5">
      <c r="A138" s="111"/>
      <c r="B138" s="111"/>
      <c r="C138" s="111"/>
      <c r="D138" s="111"/>
      <c r="E138" s="111"/>
      <c r="F138" s="111"/>
      <c r="G138" s="111"/>
      <c r="H138" s="111"/>
    </row>
    <row r="139" spans="1:8" ht="13.5">
      <c r="A139" s="111"/>
      <c r="B139" s="111"/>
      <c r="C139" s="111"/>
      <c r="D139" s="111"/>
      <c r="E139" s="111"/>
      <c r="F139" s="111"/>
      <c r="G139" s="111"/>
      <c r="H139" s="111"/>
    </row>
    <row r="140" spans="1:8" ht="13.5">
      <c r="A140" s="111"/>
      <c r="B140" s="111"/>
      <c r="C140" s="111"/>
      <c r="D140" s="111"/>
      <c r="E140" s="111"/>
      <c r="F140" s="111"/>
      <c r="G140" s="111"/>
      <c r="H140" s="111"/>
    </row>
    <row r="141" spans="1:8" ht="13.5">
      <c r="A141" s="111"/>
      <c r="B141" s="111"/>
      <c r="C141" s="111"/>
      <c r="D141" s="111"/>
      <c r="E141" s="111"/>
      <c r="F141" s="111"/>
      <c r="G141" s="111"/>
      <c r="H141" s="111"/>
    </row>
    <row r="142" spans="1:8" ht="13.5">
      <c r="A142" s="111"/>
      <c r="B142" s="111"/>
      <c r="C142" s="111"/>
      <c r="D142" s="111"/>
      <c r="E142" s="111"/>
      <c r="F142" s="111"/>
      <c r="G142" s="111"/>
      <c r="H142" s="111"/>
    </row>
    <row r="143" spans="1:8" ht="13.5">
      <c r="A143" s="111"/>
      <c r="B143" s="111"/>
      <c r="C143" s="111"/>
      <c r="D143" s="111"/>
      <c r="E143" s="111"/>
      <c r="F143" s="111"/>
      <c r="G143" s="111"/>
      <c r="H143" s="111"/>
    </row>
    <row r="144" spans="1:8" ht="13.5">
      <c r="A144" s="111"/>
      <c r="B144" s="111"/>
      <c r="C144" s="111"/>
      <c r="D144" s="111"/>
      <c r="E144" s="111"/>
      <c r="F144" s="111"/>
      <c r="G144" s="111"/>
      <c r="H144" s="111"/>
    </row>
    <row r="145" spans="1:8" ht="13.5">
      <c r="A145" s="111"/>
      <c r="B145" s="111"/>
      <c r="C145" s="111"/>
      <c r="D145" s="111"/>
      <c r="E145" s="111"/>
      <c r="F145" s="111"/>
      <c r="G145" s="111"/>
      <c r="H145" s="111"/>
    </row>
    <row r="146" spans="1:8" ht="13.5">
      <c r="A146" s="111"/>
      <c r="B146" s="111"/>
      <c r="C146" s="111"/>
      <c r="D146" s="111"/>
      <c r="E146" s="111"/>
      <c r="F146" s="111"/>
      <c r="G146" s="111"/>
      <c r="H146" s="111"/>
    </row>
    <row r="147" spans="1:8" ht="13.5">
      <c r="A147" s="111"/>
      <c r="B147" s="111"/>
      <c r="C147" s="111"/>
      <c r="D147" s="111"/>
      <c r="E147" s="111"/>
      <c r="F147" s="111"/>
      <c r="G147" s="111"/>
      <c r="H147" s="111"/>
    </row>
    <row r="148" spans="1:8" ht="13.5">
      <c r="A148" s="111"/>
      <c r="B148" s="111"/>
      <c r="C148" s="111"/>
      <c r="D148" s="111"/>
      <c r="E148" s="111"/>
      <c r="F148" s="111"/>
      <c r="G148" s="111"/>
      <c r="H148" s="111"/>
    </row>
    <row r="149" spans="1:8" ht="13.5">
      <c r="A149" s="111"/>
      <c r="B149" s="111"/>
      <c r="C149" s="111"/>
      <c r="D149" s="111"/>
      <c r="E149" s="111"/>
      <c r="F149" s="111"/>
      <c r="G149" s="111"/>
      <c r="H149" s="111"/>
    </row>
    <row r="150" spans="1:8" ht="13.5">
      <c r="A150" s="111"/>
      <c r="B150" s="111"/>
      <c r="C150" s="111"/>
      <c r="D150" s="111"/>
      <c r="E150" s="111"/>
      <c r="F150" s="111"/>
      <c r="G150" s="111"/>
      <c r="H150" s="111"/>
    </row>
    <row r="151" spans="1:8" ht="13.5">
      <c r="A151" s="111"/>
      <c r="B151" s="111"/>
      <c r="C151" s="111"/>
      <c r="D151" s="111"/>
      <c r="E151" s="111"/>
      <c r="F151" s="111"/>
      <c r="G151" s="111"/>
      <c r="H151" s="111"/>
    </row>
    <row r="152" spans="1:8" ht="13.5">
      <c r="A152" s="111"/>
      <c r="B152" s="111"/>
      <c r="C152" s="111"/>
      <c r="D152" s="111"/>
      <c r="E152" s="111"/>
      <c r="F152" s="111"/>
      <c r="G152" s="111"/>
      <c r="H152" s="111"/>
    </row>
    <row r="153" spans="1:8" ht="13.5">
      <c r="A153" s="111"/>
      <c r="B153" s="111"/>
      <c r="C153" s="111"/>
      <c r="D153" s="111"/>
      <c r="E153" s="111"/>
      <c r="F153" s="111"/>
      <c r="G153" s="111"/>
      <c r="H153" s="111"/>
    </row>
    <row r="154" spans="1:8" ht="13.5">
      <c r="A154" s="111"/>
      <c r="B154" s="111"/>
      <c r="C154" s="111"/>
      <c r="D154" s="111"/>
      <c r="E154" s="111"/>
      <c r="F154" s="111"/>
      <c r="G154" s="111"/>
      <c r="H154" s="111"/>
    </row>
    <row r="155" spans="1:8" ht="13.5">
      <c r="A155" s="111"/>
      <c r="B155" s="111"/>
      <c r="C155" s="111"/>
      <c r="D155" s="111"/>
      <c r="E155" s="111"/>
      <c r="F155" s="111"/>
      <c r="G155" s="111"/>
      <c r="H155" s="111"/>
    </row>
    <row r="156" spans="1:8" ht="13.5">
      <c r="A156" s="111"/>
      <c r="B156" s="111"/>
      <c r="C156" s="111"/>
      <c r="D156" s="111"/>
      <c r="E156" s="111"/>
      <c r="F156" s="111"/>
      <c r="G156" s="111"/>
      <c r="H156" s="111"/>
    </row>
    <row r="157" spans="1:8" ht="13.5">
      <c r="A157" s="111"/>
      <c r="B157" s="111"/>
      <c r="C157" s="111"/>
      <c r="D157" s="111"/>
      <c r="E157" s="111"/>
      <c r="F157" s="111"/>
      <c r="G157" s="111"/>
      <c r="H157" s="111"/>
    </row>
    <row r="158" spans="1:8" ht="13.5">
      <c r="A158" s="111"/>
      <c r="B158" s="111"/>
      <c r="C158" s="111"/>
      <c r="D158" s="111"/>
      <c r="E158" s="111"/>
      <c r="F158" s="111"/>
      <c r="G158" s="111"/>
      <c r="H158" s="111"/>
    </row>
    <row r="159" spans="1:8" ht="13.5">
      <c r="A159" s="111"/>
      <c r="B159" s="111"/>
      <c r="C159" s="111"/>
      <c r="D159" s="111"/>
      <c r="E159" s="111"/>
      <c r="F159" s="111"/>
      <c r="G159" s="111"/>
      <c r="H159" s="111"/>
    </row>
    <row r="160" spans="1:8" ht="13.5">
      <c r="A160" s="111"/>
      <c r="B160" s="111"/>
      <c r="C160" s="111"/>
      <c r="D160" s="111"/>
      <c r="E160" s="111"/>
      <c r="F160" s="111"/>
      <c r="G160" s="111"/>
      <c r="H160" s="111"/>
    </row>
    <row r="161" spans="1:8" ht="13.5">
      <c r="A161" s="111"/>
      <c r="B161" s="111"/>
      <c r="C161" s="111"/>
      <c r="D161" s="111"/>
      <c r="E161" s="111"/>
      <c r="F161" s="111"/>
      <c r="G161" s="111"/>
      <c r="H161" s="111"/>
    </row>
    <row r="162" spans="1:8" ht="13.5">
      <c r="A162" s="111"/>
      <c r="B162" s="111"/>
      <c r="C162" s="111"/>
      <c r="D162" s="111"/>
      <c r="E162" s="111"/>
      <c r="F162" s="111"/>
      <c r="G162" s="111"/>
      <c r="H162" s="111"/>
    </row>
    <row r="163" spans="1:8" ht="13.5">
      <c r="A163" s="111"/>
      <c r="B163" s="111"/>
      <c r="C163" s="111"/>
      <c r="D163" s="111"/>
      <c r="E163" s="111"/>
      <c r="F163" s="111"/>
      <c r="G163" s="111"/>
      <c r="H163" s="111"/>
    </row>
    <row r="164" spans="1:8" ht="13.5">
      <c r="A164" s="111"/>
      <c r="B164" s="111"/>
      <c r="C164" s="111"/>
      <c r="D164" s="111"/>
      <c r="E164" s="111"/>
      <c r="F164" s="111"/>
      <c r="G164" s="111"/>
      <c r="H164" s="111"/>
    </row>
    <row r="165" spans="1:8" ht="13.5">
      <c r="A165" s="111"/>
      <c r="B165" s="111"/>
      <c r="C165" s="111"/>
      <c r="D165" s="111"/>
      <c r="E165" s="111"/>
      <c r="F165" s="111"/>
      <c r="G165" s="111"/>
      <c r="H165" s="111"/>
    </row>
    <row r="166" spans="1:8" ht="13.5">
      <c r="A166" s="111"/>
      <c r="B166" s="111"/>
      <c r="C166" s="111"/>
      <c r="D166" s="111"/>
      <c r="E166" s="111"/>
      <c r="F166" s="111"/>
      <c r="G166" s="111"/>
      <c r="H166" s="111"/>
    </row>
    <row r="167" spans="1:8" ht="13.5">
      <c r="A167" s="111"/>
      <c r="B167" s="111"/>
      <c r="C167" s="111"/>
      <c r="D167" s="111"/>
      <c r="E167" s="111"/>
      <c r="F167" s="111"/>
      <c r="G167" s="111"/>
      <c r="H167" s="111"/>
    </row>
    <row r="168" spans="1:8" ht="13.5">
      <c r="A168" s="111"/>
      <c r="B168" s="111"/>
      <c r="C168" s="111"/>
      <c r="D168" s="111"/>
      <c r="E168" s="111"/>
      <c r="F168" s="111"/>
      <c r="G168" s="111"/>
      <c r="H168" s="111"/>
    </row>
    <row r="169" spans="1:8" ht="13.5">
      <c r="A169" s="111"/>
      <c r="B169" s="111"/>
      <c r="C169" s="111"/>
      <c r="D169" s="111"/>
      <c r="E169" s="111"/>
      <c r="F169" s="111"/>
      <c r="G169" s="111"/>
      <c r="H169" s="111"/>
    </row>
    <row r="170" spans="1:8" ht="13.5">
      <c r="A170" s="111"/>
      <c r="B170" s="111"/>
      <c r="C170" s="111"/>
      <c r="D170" s="111"/>
      <c r="E170" s="111"/>
      <c r="F170" s="111"/>
      <c r="G170" s="111"/>
      <c r="H170" s="111"/>
    </row>
    <row r="171" spans="1:8" ht="13.5">
      <c r="A171" s="111"/>
      <c r="B171" s="111"/>
      <c r="C171" s="111"/>
      <c r="D171" s="111"/>
      <c r="E171" s="111"/>
      <c r="F171" s="111"/>
      <c r="G171" s="111"/>
      <c r="H171" s="111"/>
    </row>
    <row r="172" spans="1:8" ht="13.5">
      <c r="A172" s="111"/>
      <c r="B172" s="111"/>
      <c r="C172" s="111"/>
      <c r="D172" s="111"/>
      <c r="E172" s="111"/>
      <c r="F172" s="111"/>
      <c r="G172" s="111"/>
      <c r="H172" s="111"/>
    </row>
    <row r="173" spans="1:8" ht="13.5">
      <c r="A173" s="111"/>
      <c r="B173" s="111"/>
      <c r="C173" s="111"/>
      <c r="D173" s="111"/>
      <c r="E173" s="111"/>
      <c r="F173" s="111"/>
      <c r="G173" s="111"/>
      <c r="H173" s="111"/>
    </row>
    <row r="174" spans="1:8" ht="13.5">
      <c r="A174" s="111"/>
      <c r="B174" s="111"/>
      <c r="C174" s="111"/>
      <c r="D174" s="111"/>
      <c r="E174" s="111"/>
      <c r="F174" s="111"/>
      <c r="G174" s="111"/>
      <c r="H174" s="111"/>
    </row>
    <row r="175" spans="1:8" ht="13.5">
      <c r="A175" s="111"/>
      <c r="B175" s="111"/>
      <c r="C175" s="111"/>
      <c r="D175" s="111"/>
      <c r="E175" s="111"/>
      <c r="F175" s="111"/>
      <c r="G175" s="111"/>
      <c r="H175" s="111"/>
    </row>
    <row r="176" spans="1:8" ht="13.5">
      <c r="A176" s="111"/>
      <c r="B176" s="111"/>
      <c r="C176" s="111"/>
      <c r="D176" s="111"/>
      <c r="E176" s="111"/>
      <c r="F176" s="111"/>
      <c r="G176" s="111"/>
      <c r="H176" s="111"/>
    </row>
    <row r="177" spans="1:8" ht="13.5">
      <c r="A177" s="111"/>
      <c r="B177" s="111"/>
      <c r="C177" s="111"/>
      <c r="D177" s="111"/>
      <c r="E177" s="111"/>
      <c r="F177" s="111"/>
      <c r="G177" s="111"/>
      <c r="H177" s="111"/>
    </row>
    <row r="178" spans="1:8" ht="13.5">
      <c r="A178" s="111"/>
      <c r="B178" s="111"/>
      <c r="C178" s="111"/>
      <c r="D178" s="111"/>
      <c r="E178" s="111"/>
      <c r="F178" s="111"/>
      <c r="G178" s="111"/>
      <c r="H178" s="111"/>
    </row>
    <row r="179" spans="1:8" ht="13.5">
      <c r="A179" s="111"/>
      <c r="B179" s="111"/>
      <c r="C179" s="111"/>
      <c r="D179" s="111"/>
      <c r="E179" s="111"/>
      <c r="F179" s="111"/>
      <c r="G179" s="111"/>
      <c r="H179" s="111"/>
    </row>
    <row r="180" spans="1:8" ht="13.5">
      <c r="A180" s="111"/>
      <c r="B180" s="111"/>
      <c r="C180" s="111"/>
      <c r="D180" s="111"/>
      <c r="E180" s="111"/>
      <c r="F180" s="111"/>
      <c r="G180" s="111"/>
      <c r="H180" s="111"/>
    </row>
    <row r="181" spans="1:8" ht="13.5">
      <c r="A181" s="111"/>
      <c r="B181" s="111"/>
      <c r="C181" s="111"/>
      <c r="D181" s="111"/>
      <c r="E181" s="111"/>
      <c r="F181" s="111"/>
      <c r="G181" s="111"/>
      <c r="H181" s="111"/>
    </row>
    <row r="182" spans="1:8" ht="13.5">
      <c r="A182" s="111"/>
      <c r="B182" s="111"/>
      <c r="C182" s="111"/>
      <c r="D182" s="111"/>
      <c r="E182" s="111"/>
      <c r="F182" s="111"/>
      <c r="G182" s="111"/>
      <c r="H182" s="111"/>
    </row>
    <row r="183" spans="1:8" ht="13.5">
      <c r="A183" s="111"/>
      <c r="B183" s="111"/>
      <c r="C183" s="111"/>
      <c r="D183" s="111"/>
      <c r="E183" s="111"/>
      <c r="F183" s="111"/>
      <c r="G183" s="111"/>
      <c r="H183" s="111"/>
    </row>
    <row r="184" spans="1:8" ht="13.5">
      <c r="A184" s="111"/>
      <c r="B184" s="111"/>
      <c r="C184" s="111"/>
      <c r="D184" s="111"/>
      <c r="E184" s="111"/>
      <c r="F184" s="111"/>
      <c r="G184" s="111"/>
      <c r="H184" s="111"/>
    </row>
    <row r="185" spans="1:8" ht="13.5">
      <c r="A185" s="111"/>
      <c r="B185" s="111"/>
      <c r="C185" s="111"/>
      <c r="D185" s="111"/>
      <c r="E185" s="111"/>
      <c r="F185" s="111"/>
      <c r="G185" s="111"/>
      <c r="H185" s="111"/>
    </row>
    <row r="186" spans="1:8" ht="13.5">
      <c r="A186" s="111"/>
      <c r="B186" s="111"/>
      <c r="C186" s="111"/>
      <c r="D186" s="111"/>
      <c r="E186" s="111"/>
      <c r="F186" s="111"/>
      <c r="G186" s="111"/>
      <c r="H186" s="111"/>
    </row>
    <row r="187" spans="1:8" ht="13.5">
      <c r="A187" s="111"/>
      <c r="B187" s="111"/>
      <c r="C187" s="111"/>
      <c r="D187" s="111"/>
      <c r="E187" s="111"/>
      <c r="F187" s="111"/>
      <c r="G187" s="111"/>
      <c r="H187" s="111"/>
    </row>
    <row r="188" spans="1:8" ht="13.5">
      <c r="A188" s="111"/>
      <c r="B188" s="111"/>
      <c r="C188" s="111"/>
      <c r="D188" s="111"/>
      <c r="E188" s="111"/>
      <c r="F188" s="111"/>
      <c r="G188" s="111"/>
      <c r="H188" s="111"/>
    </row>
    <row r="189" spans="1:8" ht="13.5">
      <c r="A189" s="111"/>
      <c r="B189" s="111"/>
      <c r="C189" s="111"/>
      <c r="D189" s="111"/>
      <c r="E189" s="111"/>
      <c r="F189" s="111"/>
      <c r="G189" s="111"/>
      <c r="H189" s="111"/>
    </row>
    <row r="190" spans="1:8" ht="13.5">
      <c r="A190" s="111"/>
      <c r="B190" s="111"/>
      <c r="C190" s="111"/>
      <c r="D190" s="111"/>
      <c r="E190" s="111"/>
      <c r="F190" s="111"/>
      <c r="G190" s="111"/>
      <c r="H190" s="111"/>
    </row>
    <row r="191" spans="1:8" ht="13.5">
      <c r="A191" s="111"/>
      <c r="B191" s="111"/>
      <c r="C191" s="111"/>
      <c r="D191" s="111"/>
      <c r="E191" s="111"/>
      <c r="F191" s="111"/>
      <c r="G191" s="111"/>
      <c r="H191" s="111"/>
    </row>
    <row r="192" spans="1:8" ht="13.5">
      <c r="A192" s="111"/>
      <c r="B192" s="111"/>
      <c r="C192" s="111"/>
      <c r="D192" s="111"/>
      <c r="E192" s="111"/>
      <c r="F192" s="111"/>
      <c r="G192" s="111"/>
      <c r="H192" s="111"/>
    </row>
    <row r="193" spans="1:8" ht="13.5">
      <c r="A193" s="111"/>
      <c r="B193" s="111"/>
      <c r="C193" s="111"/>
      <c r="D193" s="111"/>
      <c r="E193" s="111"/>
      <c r="F193" s="111"/>
      <c r="G193" s="111"/>
      <c r="H193" s="111"/>
    </row>
    <row r="194" spans="1:8" ht="13.5">
      <c r="A194" s="111"/>
      <c r="B194" s="111"/>
      <c r="C194" s="111"/>
      <c r="D194" s="111"/>
      <c r="E194" s="111"/>
      <c r="F194" s="111"/>
      <c r="G194" s="111"/>
      <c r="H194" s="111"/>
    </row>
    <row r="195" spans="1:8" ht="13.5">
      <c r="A195" s="111"/>
      <c r="B195" s="111"/>
      <c r="C195" s="111"/>
      <c r="D195" s="111"/>
      <c r="E195" s="111"/>
      <c r="F195" s="111"/>
      <c r="G195" s="111"/>
      <c r="H195" s="111"/>
    </row>
    <row r="196" spans="1:8" ht="13.5">
      <c r="A196" s="111"/>
      <c r="B196" s="111"/>
      <c r="C196" s="111"/>
      <c r="D196" s="111"/>
      <c r="E196" s="111"/>
      <c r="F196" s="111"/>
      <c r="G196" s="111"/>
      <c r="H196" s="111"/>
    </row>
    <row r="197" spans="1:8" ht="13.5">
      <c r="A197" s="111"/>
      <c r="B197" s="111"/>
      <c r="C197" s="111"/>
      <c r="D197" s="111"/>
      <c r="E197" s="111"/>
      <c r="F197" s="111"/>
      <c r="G197" s="111"/>
      <c r="H197" s="111"/>
    </row>
    <row r="198" spans="1:8" ht="13.5">
      <c r="A198" s="111"/>
      <c r="B198" s="111"/>
      <c r="C198" s="111"/>
      <c r="D198" s="111"/>
      <c r="E198" s="111"/>
      <c r="F198" s="111"/>
      <c r="G198" s="111"/>
      <c r="H198" s="111"/>
    </row>
    <row r="199" spans="1:8" ht="13.5">
      <c r="A199" s="111"/>
      <c r="B199" s="111"/>
      <c r="C199" s="111"/>
      <c r="D199" s="111"/>
      <c r="E199" s="111"/>
      <c r="F199" s="111"/>
      <c r="G199" s="111"/>
      <c r="H199" s="111"/>
    </row>
    <row r="200" spans="1:8" ht="13.5">
      <c r="A200" s="111"/>
      <c r="B200" s="111"/>
      <c r="C200" s="111"/>
      <c r="D200" s="111"/>
      <c r="E200" s="111"/>
      <c r="F200" s="111"/>
      <c r="G200" s="111"/>
      <c r="H200" s="111"/>
    </row>
    <row r="201" spans="1:8" ht="13.5">
      <c r="A201" s="111"/>
      <c r="B201" s="111"/>
      <c r="C201" s="111"/>
      <c r="D201" s="111"/>
      <c r="E201" s="111"/>
      <c r="F201" s="111"/>
      <c r="G201" s="111"/>
      <c r="H201" s="111"/>
    </row>
    <row r="202" spans="1:8" ht="13.5">
      <c r="A202" s="111"/>
      <c r="B202" s="111"/>
      <c r="C202" s="111"/>
      <c r="D202" s="111"/>
      <c r="E202" s="111"/>
      <c r="F202" s="111"/>
      <c r="G202" s="111"/>
      <c r="H202" s="111"/>
    </row>
    <row r="203" spans="1:8" ht="13.5">
      <c r="A203" s="111"/>
      <c r="B203" s="111"/>
      <c r="C203" s="111"/>
      <c r="D203" s="111"/>
      <c r="E203" s="111"/>
      <c r="F203" s="111"/>
      <c r="G203" s="111"/>
      <c r="H203" s="111"/>
    </row>
  </sheetData>
  <sheetProtection password="8618" sheet="1" objects="1" scenarios="1"/>
  <mergeCells count="33">
    <mergeCell ref="A76:B76"/>
    <mergeCell ref="A77:B77"/>
    <mergeCell ref="A32:B32"/>
    <mergeCell ref="A41:B41"/>
    <mergeCell ref="A54:B54"/>
    <mergeCell ref="A33:B33"/>
    <mergeCell ref="A37:B37"/>
    <mergeCell ref="A46:B46"/>
    <mergeCell ref="A48:B48"/>
    <mergeCell ref="A50:B50"/>
    <mergeCell ref="A80:B80"/>
    <mergeCell ref="A84:B84"/>
    <mergeCell ref="A45:B45"/>
    <mergeCell ref="A69:B69"/>
    <mergeCell ref="A75:B75"/>
    <mergeCell ref="A82:B82"/>
    <mergeCell ref="A57:B57"/>
    <mergeCell ref="A66:B66"/>
    <mergeCell ref="A70:B70"/>
    <mergeCell ref="A71:B71"/>
    <mergeCell ref="A4:H4"/>
    <mergeCell ref="A29:B29"/>
    <mergeCell ref="A12:B12"/>
    <mergeCell ref="A8:B8"/>
    <mergeCell ref="A13:B13"/>
    <mergeCell ref="A17:B17"/>
    <mergeCell ref="A21:B21"/>
    <mergeCell ref="A25:B25"/>
    <mergeCell ref="A64:B64"/>
    <mergeCell ref="A52:B52"/>
    <mergeCell ref="A58:B58"/>
    <mergeCell ref="A60:B60"/>
    <mergeCell ref="A62:B6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D16:H16 E14:H14 D20 D26 E26:H28 D28 D46:H46 E8:H8 E18:H20 D18 E22:H24 D22 D24 B72 B78 D8 E48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"/>
  <sheetViews>
    <sheetView showGridLines="0" showZeros="0" workbookViewId="0" topLeftCell="A1">
      <selection activeCell="E7" sqref="E7"/>
    </sheetView>
  </sheetViews>
  <sheetFormatPr defaultColWidth="9.140625" defaultRowHeight="12.75"/>
  <cols>
    <col min="1" max="1" width="40.57421875" style="93" customWidth="1"/>
    <col min="2" max="2" width="7.8515625" style="93" customWidth="1"/>
    <col min="3" max="14" width="11.421875" style="93" customWidth="1"/>
    <col min="15" max="16384" width="8.7109375" style="93" customWidth="1"/>
  </cols>
  <sheetData>
    <row r="1" spans="1:8" ht="13.5">
      <c r="A1" s="89"/>
      <c r="B1" s="89"/>
      <c r="C1" s="90"/>
      <c r="D1" s="90"/>
      <c r="E1" s="90"/>
      <c r="F1" s="90"/>
      <c r="G1" s="91" t="s">
        <v>33</v>
      </c>
      <c r="H1" s="92" t="str">
        <f>+Pressupostos!E1</f>
        <v>XPTO, Lda</v>
      </c>
    </row>
    <row r="2" spans="1:9" ht="13.5">
      <c r="A2" s="94"/>
      <c r="B2" s="90"/>
      <c r="C2" s="90"/>
      <c r="D2" s="90"/>
      <c r="E2" s="90"/>
      <c r="F2" s="90"/>
      <c r="G2" s="90"/>
      <c r="H2" s="95" t="str">
        <f>+Pressupostos!B9</f>
        <v>Euros</v>
      </c>
      <c r="I2" s="111"/>
    </row>
    <row r="3" spans="1:9" ht="13.5">
      <c r="A3" s="94"/>
      <c r="B3" s="90"/>
      <c r="C3" s="90"/>
      <c r="D3" s="90"/>
      <c r="E3" s="90"/>
      <c r="F3" s="90"/>
      <c r="G3" s="90"/>
      <c r="H3" s="95"/>
      <c r="I3" s="111"/>
    </row>
    <row r="4" spans="1:9" ht="15.75">
      <c r="A4" s="458" t="s">
        <v>138</v>
      </c>
      <c r="B4" s="458"/>
      <c r="C4" s="458"/>
      <c r="D4" s="458"/>
      <c r="E4" s="458"/>
      <c r="F4" s="458"/>
      <c r="G4" s="458"/>
      <c r="H4" s="458"/>
      <c r="I4" s="111"/>
    </row>
    <row r="5" spans="1:9" ht="13.5">
      <c r="A5" s="96"/>
      <c r="B5" s="96"/>
      <c r="C5" s="96"/>
      <c r="D5" s="96"/>
      <c r="E5" s="96"/>
      <c r="F5" s="96"/>
      <c r="G5" s="96"/>
      <c r="H5" s="96"/>
      <c r="I5" s="111"/>
    </row>
    <row r="6" spans="1:9" ht="13.5">
      <c r="A6" s="101"/>
      <c r="B6" s="101"/>
      <c r="C6" s="101"/>
      <c r="D6" s="101"/>
      <c r="E6" s="101"/>
      <c r="F6" s="101"/>
      <c r="G6" s="101"/>
      <c r="H6" s="101"/>
      <c r="I6" s="111"/>
    </row>
    <row r="7" spans="1:9" ht="25.5">
      <c r="A7" s="125" t="s">
        <v>35</v>
      </c>
      <c r="B7" s="126" t="s">
        <v>133</v>
      </c>
      <c r="C7" s="127">
        <f>+VN!C8</f>
        <v>2007</v>
      </c>
      <c r="D7" s="127">
        <f>+VN!D8</f>
        <v>2008</v>
      </c>
      <c r="E7" s="127">
        <f>+VN!E8</f>
        <v>2009</v>
      </c>
      <c r="F7" s="127">
        <f>+VN!F8</f>
        <v>2010</v>
      </c>
      <c r="G7" s="127">
        <f>+VN!G8</f>
        <v>2011</v>
      </c>
      <c r="H7" s="127">
        <f>+VN!H8</f>
        <v>2012</v>
      </c>
      <c r="I7" s="111"/>
    </row>
    <row r="8" spans="1:9" ht="13.5">
      <c r="A8" s="125" t="s">
        <v>370</v>
      </c>
      <c r="B8" s="126"/>
      <c r="C8" s="135">
        <f aca="true" t="shared" si="0" ref="C8:H8">+SUM(C9:C12)</f>
        <v>0</v>
      </c>
      <c r="D8" s="135">
        <f t="shared" si="0"/>
        <v>0</v>
      </c>
      <c r="E8" s="135">
        <f t="shared" si="0"/>
        <v>0</v>
      </c>
      <c r="F8" s="135">
        <f t="shared" si="0"/>
        <v>0</v>
      </c>
      <c r="G8" s="135">
        <f t="shared" si="0"/>
        <v>0</v>
      </c>
      <c r="H8" s="135">
        <f t="shared" si="0"/>
        <v>0</v>
      </c>
      <c r="I8" s="111"/>
    </row>
    <row r="9" spans="1:9" ht="13.5">
      <c r="A9" s="128" t="str">
        <f>+VN!A13</f>
        <v>Produto A *</v>
      </c>
      <c r="B9" s="52">
        <v>0.5</v>
      </c>
      <c r="C9" s="53">
        <f>VN!C13*(1-CMVMC!$B$9)</f>
        <v>0</v>
      </c>
      <c r="D9" s="53">
        <f>VN!D13*(1-CMVMC!$B$9)</f>
        <v>0</v>
      </c>
      <c r="E9" s="53">
        <f>VN!E13*(1-CMVMC!$B$9)</f>
        <v>0</v>
      </c>
      <c r="F9" s="53">
        <f>VN!F13*(1-CMVMC!$B$9)</f>
        <v>0</v>
      </c>
      <c r="G9" s="53">
        <f>VN!G13*(1-CMVMC!$B$9)</f>
        <v>0</v>
      </c>
      <c r="H9" s="53">
        <f>VN!H13*(1-CMVMC!$B$9)</f>
        <v>0</v>
      </c>
      <c r="I9" s="111"/>
    </row>
    <row r="10" spans="1:9" ht="13.5">
      <c r="A10" s="128" t="str">
        <f>+VN!A17</f>
        <v>Produto B *</v>
      </c>
      <c r="B10" s="54"/>
      <c r="C10" s="53">
        <f>VN!C17*(1-CMVMC!$B$10)</f>
        <v>0</v>
      </c>
      <c r="D10" s="53">
        <f>VN!D17*(1-CMVMC!$B$10)</f>
        <v>0</v>
      </c>
      <c r="E10" s="53">
        <f>VN!E17*(1-CMVMC!$B$10)</f>
        <v>0</v>
      </c>
      <c r="F10" s="53">
        <f>VN!F17*(1-CMVMC!$B$10)</f>
        <v>0</v>
      </c>
      <c r="G10" s="53">
        <f>VN!G17*(1-CMVMC!$B$10)</f>
        <v>0</v>
      </c>
      <c r="H10" s="53">
        <f>VN!H17*(1-CMVMC!$B$10)</f>
        <v>0</v>
      </c>
      <c r="I10" s="111"/>
    </row>
    <row r="11" spans="1:9" ht="13.5">
      <c r="A11" s="128" t="str">
        <f>+VN!A21</f>
        <v>Produto C *</v>
      </c>
      <c r="B11" s="54"/>
      <c r="C11" s="53">
        <f>VN!C21*(1-CMVMC!$B$11)</f>
        <v>0</v>
      </c>
      <c r="D11" s="53">
        <f>VN!D21*(1-CMVMC!$B$11)</f>
        <v>0</v>
      </c>
      <c r="E11" s="53">
        <f>VN!E21*(1-CMVMC!$B$11)</f>
        <v>0</v>
      </c>
      <c r="F11" s="53">
        <f>VN!F21*(1-CMVMC!$B$11)</f>
        <v>0</v>
      </c>
      <c r="G11" s="53">
        <f>VN!G21*(1-CMVMC!$B$11)</f>
        <v>0</v>
      </c>
      <c r="H11" s="53">
        <f>VN!H21*(1-CMVMC!$B$11)</f>
        <v>0</v>
      </c>
      <c r="I11" s="111"/>
    </row>
    <row r="12" spans="1:9" ht="13.5">
      <c r="A12" s="128" t="str">
        <f>+VN!A25</f>
        <v>Produto D *</v>
      </c>
      <c r="B12" s="54"/>
      <c r="C12" s="53">
        <f>VN!C25*(1-CMVMC!$B$12)</f>
        <v>0</v>
      </c>
      <c r="D12" s="53">
        <f>VN!D25*(1-CMVMC!$B$12)</f>
        <v>0</v>
      </c>
      <c r="E12" s="53">
        <f>VN!E25*(1-CMVMC!$B$12)</f>
        <v>0</v>
      </c>
      <c r="F12" s="53">
        <f>VN!F25*(1-CMVMC!$B$12)</f>
        <v>0</v>
      </c>
      <c r="G12" s="53">
        <f>VN!G25*(1-CMVMC!$B$12)</f>
        <v>0</v>
      </c>
      <c r="H12" s="53">
        <f>VN!H25*(1-CMVMC!$B$12)</f>
        <v>0</v>
      </c>
      <c r="I12" s="111"/>
    </row>
    <row r="13" spans="1:9" ht="13.5">
      <c r="A13" s="125" t="s">
        <v>371</v>
      </c>
      <c r="B13" s="129"/>
      <c r="C13" s="58">
        <f aca="true" t="shared" si="1" ref="C13:H13">+C15+C14</f>
        <v>0</v>
      </c>
      <c r="D13" s="58">
        <f t="shared" si="1"/>
        <v>0</v>
      </c>
      <c r="E13" s="58">
        <f t="shared" si="1"/>
        <v>0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111"/>
    </row>
    <row r="14" spans="1:9" ht="13.5">
      <c r="A14" s="128" t="str">
        <f>+VN!A33</f>
        <v>Produto A *</v>
      </c>
      <c r="B14" s="54"/>
      <c r="C14" s="53">
        <f>VN!C33*(1-CMVMC!$B$14)</f>
        <v>0</v>
      </c>
      <c r="D14" s="53">
        <f>VN!D33*(1-CMVMC!$B$14)</f>
        <v>0</v>
      </c>
      <c r="E14" s="53">
        <f>VN!E33*(1-CMVMC!$B$14)</f>
        <v>0</v>
      </c>
      <c r="F14" s="53">
        <f>VN!F33*(1-CMVMC!$B$14)</f>
        <v>0</v>
      </c>
      <c r="G14" s="53">
        <f>VN!G33*(1-CMVMC!$B$14)</f>
        <v>0</v>
      </c>
      <c r="H14" s="53">
        <f>VN!H33*(1-CMVMC!$B$14)</f>
        <v>0</v>
      </c>
      <c r="I14" s="111"/>
    </row>
    <row r="15" spans="1:9" ht="13.5">
      <c r="A15" s="128" t="str">
        <f>+VN!A37</f>
        <v>Produto B *</v>
      </c>
      <c r="B15" s="54"/>
      <c r="C15" s="53">
        <f>VN!C37*(1-CMVMC!$B$15)</f>
        <v>0</v>
      </c>
      <c r="D15" s="53">
        <f>VN!D37*(1-CMVMC!$B$15)</f>
        <v>0</v>
      </c>
      <c r="E15" s="53">
        <f>VN!E37*(1-CMVMC!$B$15)</f>
        <v>0</v>
      </c>
      <c r="F15" s="53">
        <f>VN!F37*(1-CMVMC!$B$15)</f>
        <v>0</v>
      </c>
      <c r="G15" s="53">
        <f>VN!G37*(1-CMVMC!$B$15)</f>
        <v>0</v>
      </c>
      <c r="H15" s="53">
        <f>VN!H37*(1-CMVMC!$B$15)</f>
        <v>0</v>
      </c>
      <c r="I15" s="111"/>
    </row>
    <row r="16" spans="1:9" ht="14.25" thickBot="1">
      <c r="A16" s="434" t="s">
        <v>134</v>
      </c>
      <c r="B16" s="434"/>
      <c r="C16" s="59">
        <f aca="true" t="shared" si="2" ref="C16:H16">+C8+C13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111"/>
    </row>
    <row r="17" spans="1:9" ht="14.25" thickTop="1">
      <c r="A17" s="104"/>
      <c r="B17" s="104"/>
      <c r="C17" s="105"/>
      <c r="D17" s="105"/>
      <c r="E17" s="105"/>
      <c r="F17" s="105"/>
      <c r="G17" s="105"/>
      <c r="H17" s="105"/>
      <c r="I17" s="111"/>
    </row>
    <row r="18" spans="1:9" ht="14.25" thickBot="1">
      <c r="A18" s="106" t="s">
        <v>119</v>
      </c>
      <c r="B18" s="124">
        <f>+Pressupostos!B17</f>
        <v>0.21</v>
      </c>
      <c r="C18" s="130">
        <f aca="true" t="shared" si="3" ref="C18:H18">+C8*$B$18</f>
        <v>0</v>
      </c>
      <c r="D18" s="130">
        <f t="shared" si="3"/>
        <v>0</v>
      </c>
      <c r="E18" s="130">
        <f t="shared" si="3"/>
        <v>0</v>
      </c>
      <c r="F18" s="130">
        <f t="shared" si="3"/>
        <v>0</v>
      </c>
      <c r="G18" s="130">
        <f t="shared" si="3"/>
        <v>0</v>
      </c>
      <c r="H18" s="130">
        <f t="shared" si="3"/>
        <v>0</v>
      </c>
      <c r="I18" s="111"/>
    </row>
    <row r="19" spans="1:9" ht="14.25" thickTop="1">
      <c r="A19" s="101"/>
      <c r="B19" s="101"/>
      <c r="C19" s="101"/>
      <c r="D19" s="101"/>
      <c r="E19" s="101"/>
      <c r="F19" s="101"/>
      <c r="G19" s="101"/>
      <c r="H19" s="101"/>
      <c r="I19" s="111"/>
    </row>
    <row r="20" spans="1:9" ht="14.25" thickBot="1">
      <c r="A20" s="434" t="s">
        <v>135</v>
      </c>
      <c r="B20" s="434"/>
      <c r="C20" s="59">
        <f aca="true" t="shared" si="4" ref="C20:H20">+C16+C18</f>
        <v>0</v>
      </c>
      <c r="D20" s="59">
        <f t="shared" si="4"/>
        <v>0</v>
      </c>
      <c r="E20" s="59">
        <f t="shared" si="4"/>
        <v>0</v>
      </c>
      <c r="F20" s="59">
        <f t="shared" si="4"/>
        <v>0</v>
      </c>
      <c r="G20" s="59">
        <f t="shared" si="4"/>
        <v>0</v>
      </c>
      <c r="H20" s="59">
        <f t="shared" si="4"/>
        <v>0</v>
      </c>
      <c r="I20" s="111"/>
    </row>
    <row r="21" spans="1:9" ht="14.25" thickTop="1">
      <c r="A21" s="101"/>
      <c r="B21" s="101"/>
      <c r="C21" s="101"/>
      <c r="D21" s="101"/>
      <c r="E21" s="101"/>
      <c r="F21" s="101"/>
      <c r="G21" s="101"/>
      <c r="H21" s="101"/>
      <c r="I21" s="111"/>
    </row>
    <row r="22" spans="1:9" ht="13.5">
      <c r="A22" s="101"/>
      <c r="B22" s="101"/>
      <c r="C22" s="101"/>
      <c r="D22" s="101"/>
      <c r="E22" s="101"/>
      <c r="F22" s="101"/>
      <c r="G22" s="101"/>
      <c r="H22" s="101"/>
      <c r="I22" s="111"/>
    </row>
    <row r="23" spans="1:9" ht="13.5">
      <c r="A23" s="131" t="s">
        <v>252</v>
      </c>
      <c r="B23" s="101"/>
      <c r="C23" s="101"/>
      <c r="D23" s="101"/>
      <c r="E23" s="101"/>
      <c r="F23" s="101"/>
      <c r="G23" s="101"/>
      <c r="H23" s="101"/>
      <c r="I23" s="111"/>
    </row>
    <row r="24" spans="1:9" ht="13.5">
      <c r="A24" s="132" t="s">
        <v>372</v>
      </c>
      <c r="B24" s="101"/>
      <c r="C24" s="101"/>
      <c r="D24" s="101"/>
      <c r="E24" s="101"/>
      <c r="F24" s="101"/>
      <c r="G24" s="101"/>
      <c r="H24" s="101"/>
      <c r="I24" s="111"/>
    </row>
    <row r="25" spans="1:9" ht="13.5">
      <c r="A25" s="132" t="s">
        <v>253</v>
      </c>
      <c r="B25" s="101"/>
      <c r="C25" s="101"/>
      <c r="D25" s="101"/>
      <c r="E25" s="101"/>
      <c r="F25" s="101"/>
      <c r="G25" s="101"/>
      <c r="H25" s="101"/>
      <c r="I25" s="111"/>
    </row>
    <row r="26" spans="1:9" ht="13.5">
      <c r="A26" s="132" t="s">
        <v>314</v>
      </c>
      <c r="B26" s="101"/>
      <c r="C26" s="101"/>
      <c r="D26" s="101"/>
      <c r="E26" s="101"/>
      <c r="F26" s="101"/>
      <c r="G26" s="101"/>
      <c r="H26" s="101"/>
      <c r="I26" s="111"/>
    </row>
    <row r="27" spans="1:9" ht="13.5">
      <c r="A27" s="132"/>
      <c r="B27" s="101"/>
      <c r="C27" s="101"/>
      <c r="D27" s="101"/>
      <c r="E27" s="101"/>
      <c r="F27" s="101"/>
      <c r="G27" s="101"/>
      <c r="H27" s="101"/>
      <c r="I27" s="111"/>
    </row>
    <row r="28" spans="1:9" ht="13.5">
      <c r="A28" s="131" t="s">
        <v>315</v>
      </c>
      <c r="B28" s="101"/>
      <c r="C28" s="101"/>
      <c r="D28" s="101"/>
      <c r="E28" s="101"/>
      <c r="F28" s="101"/>
      <c r="G28" s="101"/>
      <c r="H28" s="101"/>
      <c r="I28" s="111"/>
    </row>
    <row r="29" spans="1:9" ht="13.5">
      <c r="A29" s="133"/>
      <c r="B29" s="101"/>
      <c r="C29" s="101"/>
      <c r="D29" s="101"/>
      <c r="E29" s="101"/>
      <c r="F29" s="101"/>
      <c r="G29" s="101"/>
      <c r="H29" s="101"/>
      <c r="I29" s="111"/>
    </row>
    <row r="30" spans="1:8" ht="13.5">
      <c r="A30" s="134"/>
      <c r="B30" s="111"/>
      <c r="C30" s="111"/>
      <c r="D30" s="111"/>
      <c r="E30" s="111"/>
      <c r="F30" s="111"/>
      <c r="G30" s="111"/>
      <c r="H30" s="111"/>
    </row>
    <row r="31" spans="1:8" ht="13.5">
      <c r="A31" s="111"/>
      <c r="B31" s="111"/>
      <c r="C31" s="111"/>
      <c r="D31" s="111"/>
      <c r="E31" s="111"/>
      <c r="F31" s="111"/>
      <c r="G31" s="111"/>
      <c r="H31" s="111"/>
    </row>
    <row r="32" spans="1:8" ht="13.5">
      <c r="A32" s="111"/>
      <c r="B32" s="111"/>
      <c r="C32" s="111"/>
      <c r="D32" s="111"/>
      <c r="E32" s="111"/>
      <c r="F32" s="111"/>
      <c r="G32" s="111"/>
      <c r="H32" s="111"/>
    </row>
    <row r="33" spans="1:8" ht="13.5">
      <c r="A33" s="111"/>
      <c r="B33" s="111"/>
      <c r="C33" s="111"/>
      <c r="D33" s="111"/>
      <c r="E33" s="111"/>
      <c r="F33" s="111"/>
      <c r="G33" s="111"/>
      <c r="H33" s="111"/>
    </row>
    <row r="34" spans="1:8" ht="13.5">
      <c r="A34" s="111"/>
      <c r="B34" s="111"/>
      <c r="C34" s="111"/>
      <c r="D34" s="111"/>
      <c r="E34" s="111"/>
      <c r="F34" s="111"/>
      <c r="G34" s="111"/>
      <c r="H34" s="111"/>
    </row>
    <row r="35" spans="1:8" ht="13.5">
      <c r="A35" s="111"/>
      <c r="B35" s="111"/>
      <c r="C35" s="111"/>
      <c r="D35" s="111"/>
      <c r="E35" s="111"/>
      <c r="F35" s="111"/>
      <c r="G35" s="111"/>
      <c r="H35" s="111"/>
    </row>
    <row r="36" spans="1:8" ht="13.5">
      <c r="A36" s="111"/>
      <c r="B36" s="111"/>
      <c r="C36" s="111"/>
      <c r="D36" s="111"/>
      <c r="E36" s="111"/>
      <c r="F36" s="111"/>
      <c r="G36" s="111"/>
      <c r="H36" s="111"/>
    </row>
    <row r="37" spans="1:8" ht="13.5">
      <c r="A37" s="111"/>
      <c r="B37" s="111"/>
      <c r="C37" s="111"/>
      <c r="D37" s="111"/>
      <c r="E37" s="111"/>
      <c r="F37" s="111"/>
      <c r="G37" s="111"/>
      <c r="H37" s="111"/>
    </row>
    <row r="38" spans="1:8" ht="13.5">
      <c r="A38" s="111"/>
      <c r="B38" s="111"/>
      <c r="C38" s="111"/>
      <c r="D38" s="111"/>
      <c r="E38" s="111"/>
      <c r="F38" s="111"/>
      <c r="G38" s="111"/>
      <c r="H38" s="111"/>
    </row>
    <row r="39" spans="1:8" ht="13.5">
      <c r="A39" s="111"/>
      <c r="B39" s="111"/>
      <c r="C39" s="111"/>
      <c r="D39" s="111"/>
      <c r="E39" s="111"/>
      <c r="F39" s="111"/>
      <c r="G39" s="111"/>
      <c r="H39" s="111"/>
    </row>
    <row r="40" spans="1:8" ht="13.5">
      <c r="A40" s="111"/>
      <c r="B40" s="111"/>
      <c r="C40" s="111"/>
      <c r="D40" s="111"/>
      <c r="E40" s="111"/>
      <c r="F40" s="111"/>
      <c r="G40" s="111"/>
      <c r="H40" s="111"/>
    </row>
    <row r="41" spans="1:8" ht="13.5">
      <c r="A41" s="111"/>
      <c r="B41" s="111"/>
      <c r="C41" s="111"/>
      <c r="D41" s="111"/>
      <c r="E41" s="111"/>
      <c r="F41" s="111"/>
      <c r="G41" s="111"/>
      <c r="H41" s="111"/>
    </row>
    <row r="42" spans="1:8" ht="13.5">
      <c r="A42" s="111"/>
      <c r="B42" s="111"/>
      <c r="C42" s="111"/>
      <c r="D42" s="111"/>
      <c r="E42" s="111"/>
      <c r="F42" s="111"/>
      <c r="G42" s="111"/>
      <c r="H42" s="111"/>
    </row>
    <row r="43" spans="1:8" ht="13.5">
      <c r="A43" s="111"/>
      <c r="B43" s="111"/>
      <c r="C43" s="111"/>
      <c r="D43" s="111"/>
      <c r="E43" s="111"/>
      <c r="F43" s="111"/>
      <c r="G43" s="111"/>
      <c r="H43" s="111"/>
    </row>
    <row r="44" spans="1:8" ht="13.5">
      <c r="A44" s="111"/>
      <c r="B44" s="111"/>
      <c r="C44" s="111"/>
      <c r="D44" s="111"/>
      <c r="E44" s="111"/>
      <c r="F44" s="111"/>
      <c r="G44" s="111"/>
      <c r="H44" s="111"/>
    </row>
    <row r="45" spans="1:8" ht="13.5">
      <c r="A45" s="111"/>
      <c r="B45" s="111"/>
      <c r="C45" s="111"/>
      <c r="D45" s="111"/>
      <c r="E45" s="111"/>
      <c r="F45" s="111"/>
      <c r="G45" s="111"/>
      <c r="H45" s="111"/>
    </row>
    <row r="46" spans="1:8" ht="13.5">
      <c r="A46" s="111"/>
      <c r="B46" s="111"/>
      <c r="C46" s="111"/>
      <c r="D46" s="111"/>
      <c r="E46" s="111"/>
      <c r="F46" s="111"/>
      <c r="G46" s="111"/>
      <c r="H46" s="111"/>
    </row>
    <row r="47" spans="1:8" ht="13.5">
      <c r="A47" s="111"/>
      <c r="B47" s="111"/>
      <c r="C47" s="111"/>
      <c r="D47" s="111"/>
      <c r="E47" s="111"/>
      <c r="F47" s="111"/>
      <c r="G47" s="111"/>
      <c r="H47" s="111"/>
    </row>
    <row r="48" spans="1:8" ht="13.5">
      <c r="A48" s="111"/>
      <c r="B48" s="111"/>
      <c r="C48" s="111"/>
      <c r="D48" s="111"/>
      <c r="E48" s="111"/>
      <c r="F48" s="111"/>
      <c r="G48" s="111"/>
      <c r="H48" s="111"/>
    </row>
    <row r="49" spans="1:8" ht="13.5">
      <c r="A49" s="111"/>
      <c r="B49" s="111"/>
      <c r="C49" s="111"/>
      <c r="D49" s="111"/>
      <c r="E49" s="111"/>
      <c r="F49" s="111"/>
      <c r="G49" s="111"/>
      <c r="H49" s="111"/>
    </row>
    <row r="50" spans="1:8" ht="13.5">
      <c r="A50" s="111"/>
      <c r="B50" s="111"/>
      <c r="C50" s="111"/>
      <c r="D50" s="111"/>
      <c r="E50" s="111"/>
      <c r="F50" s="111"/>
      <c r="G50" s="111"/>
      <c r="H50" s="111"/>
    </row>
    <row r="51" spans="1:8" ht="13.5">
      <c r="A51" s="111"/>
      <c r="B51" s="111"/>
      <c r="C51" s="111"/>
      <c r="D51" s="111"/>
      <c r="E51" s="111"/>
      <c r="F51" s="111"/>
      <c r="G51" s="111"/>
      <c r="H51" s="111"/>
    </row>
    <row r="52" spans="1:8" ht="13.5">
      <c r="A52" s="111"/>
      <c r="B52" s="111"/>
      <c r="C52" s="111"/>
      <c r="D52" s="111"/>
      <c r="E52" s="111"/>
      <c r="F52" s="111"/>
      <c r="G52" s="111"/>
      <c r="H52" s="111"/>
    </row>
    <row r="53" spans="1:8" ht="13.5">
      <c r="A53" s="111"/>
      <c r="B53" s="111"/>
      <c r="C53" s="111"/>
      <c r="D53" s="111"/>
      <c r="E53" s="111"/>
      <c r="F53" s="111"/>
      <c r="G53" s="111"/>
      <c r="H53" s="111"/>
    </row>
    <row r="54" spans="1:8" ht="13.5">
      <c r="A54" s="111"/>
      <c r="B54" s="111"/>
      <c r="C54" s="111"/>
      <c r="D54" s="111"/>
      <c r="E54" s="111"/>
      <c r="F54" s="111"/>
      <c r="G54" s="111"/>
      <c r="H54" s="111"/>
    </row>
    <row r="55" spans="1:8" ht="13.5">
      <c r="A55" s="111"/>
      <c r="B55" s="111"/>
      <c r="C55" s="111"/>
      <c r="D55" s="111"/>
      <c r="E55" s="111"/>
      <c r="F55" s="111"/>
      <c r="G55" s="111"/>
      <c r="H55" s="111"/>
    </row>
    <row r="56" spans="1:8" ht="13.5">
      <c r="A56" s="111"/>
      <c r="B56" s="111"/>
      <c r="C56" s="111"/>
      <c r="D56" s="111"/>
      <c r="E56" s="111"/>
      <c r="F56" s="111"/>
      <c r="G56" s="111"/>
      <c r="H56" s="111"/>
    </row>
    <row r="57" spans="1:8" ht="13.5">
      <c r="A57" s="111"/>
      <c r="B57" s="111"/>
      <c r="C57" s="111"/>
      <c r="D57" s="111"/>
      <c r="E57" s="111"/>
      <c r="F57" s="111"/>
      <c r="G57" s="111"/>
      <c r="H57" s="111"/>
    </row>
    <row r="58" spans="1:8" ht="13.5">
      <c r="A58" s="111"/>
      <c r="B58" s="111"/>
      <c r="C58" s="111"/>
      <c r="D58" s="111"/>
      <c r="E58" s="111"/>
      <c r="F58" s="111"/>
      <c r="G58" s="111"/>
      <c r="H58" s="111"/>
    </row>
    <row r="59" spans="1:8" ht="13.5">
      <c r="A59" s="111"/>
      <c r="B59" s="111"/>
      <c r="C59" s="111"/>
      <c r="D59" s="111"/>
      <c r="E59" s="111"/>
      <c r="F59" s="111"/>
      <c r="G59" s="111"/>
      <c r="H59" s="111"/>
    </row>
    <row r="60" spans="1:8" ht="13.5">
      <c r="A60" s="111"/>
      <c r="B60" s="111"/>
      <c r="C60" s="111"/>
      <c r="D60" s="111"/>
      <c r="E60" s="111"/>
      <c r="F60" s="111"/>
      <c r="G60" s="111"/>
      <c r="H60" s="111"/>
    </row>
    <row r="61" spans="1:8" ht="13.5">
      <c r="A61" s="111"/>
      <c r="B61" s="111"/>
      <c r="C61" s="111"/>
      <c r="D61" s="111"/>
      <c r="E61" s="111"/>
      <c r="F61" s="111"/>
      <c r="G61" s="111"/>
      <c r="H61" s="111"/>
    </row>
    <row r="62" spans="1:8" ht="13.5">
      <c r="A62" s="111"/>
      <c r="B62" s="111"/>
      <c r="C62" s="111"/>
      <c r="D62" s="111"/>
      <c r="E62" s="111"/>
      <c r="F62" s="111"/>
      <c r="G62" s="111"/>
      <c r="H62" s="111"/>
    </row>
    <row r="63" spans="1:8" ht="13.5">
      <c r="A63" s="111"/>
      <c r="B63" s="111"/>
      <c r="C63" s="111"/>
      <c r="D63" s="111"/>
      <c r="E63" s="111"/>
      <c r="F63" s="111"/>
      <c r="G63" s="111"/>
      <c r="H63" s="111"/>
    </row>
    <row r="64" spans="1:8" ht="13.5">
      <c r="A64" s="111"/>
      <c r="B64" s="111"/>
      <c r="C64" s="111"/>
      <c r="D64" s="111"/>
      <c r="E64" s="111"/>
      <c r="F64" s="111"/>
      <c r="G64" s="111"/>
      <c r="H64" s="111"/>
    </row>
    <row r="65" spans="1:8" ht="13.5">
      <c r="A65" s="111"/>
      <c r="B65" s="111"/>
      <c r="C65" s="111"/>
      <c r="D65" s="111"/>
      <c r="E65" s="111"/>
      <c r="F65" s="111"/>
      <c r="G65" s="111"/>
      <c r="H65" s="111"/>
    </row>
    <row r="66" spans="1:8" ht="13.5">
      <c r="A66" s="111"/>
      <c r="B66" s="111"/>
      <c r="C66" s="111"/>
      <c r="D66" s="111"/>
      <c r="E66" s="111"/>
      <c r="F66" s="111"/>
      <c r="G66" s="111"/>
      <c r="H66" s="111"/>
    </row>
    <row r="67" spans="1:8" ht="13.5">
      <c r="A67" s="111"/>
      <c r="B67" s="111"/>
      <c r="C67" s="111"/>
      <c r="D67" s="111"/>
      <c r="E67" s="111"/>
      <c r="F67" s="111"/>
      <c r="G67" s="111"/>
      <c r="H67" s="111"/>
    </row>
    <row r="68" spans="1:8" ht="13.5">
      <c r="A68" s="111"/>
      <c r="B68" s="111"/>
      <c r="C68" s="111"/>
      <c r="D68" s="111"/>
      <c r="E68" s="111"/>
      <c r="F68" s="111"/>
      <c r="G68" s="111"/>
      <c r="H68" s="111"/>
    </row>
    <row r="69" spans="1:8" ht="13.5">
      <c r="A69" s="111"/>
      <c r="B69" s="111"/>
      <c r="C69" s="111"/>
      <c r="D69" s="111"/>
      <c r="E69" s="111"/>
      <c r="F69" s="111"/>
      <c r="G69" s="111"/>
      <c r="H69" s="111"/>
    </row>
    <row r="70" spans="1:8" ht="13.5">
      <c r="A70" s="111"/>
      <c r="B70" s="111"/>
      <c r="C70" s="111"/>
      <c r="D70" s="111"/>
      <c r="E70" s="111"/>
      <c r="F70" s="111"/>
      <c r="G70" s="111"/>
      <c r="H70" s="111"/>
    </row>
    <row r="71" spans="1:8" ht="13.5">
      <c r="A71" s="111"/>
      <c r="B71" s="111"/>
      <c r="C71" s="111"/>
      <c r="D71" s="111"/>
      <c r="E71" s="111"/>
      <c r="F71" s="111"/>
      <c r="G71" s="111"/>
      <c r="H71" s="111"/>
    </row>
    <row r="72" spans="1:8" ht="13.5">
      <c r="A72" s="111"/>
      <c r="B72" s="111"/>
      <c r="C72" s="111"/>
      <c r="D72" s="111"/>
      <c r="E72" s="111"/>
      <c r="F72" s="111"/>
      <c r="G72" s="111"/>
      <c r="H72" s="111"/>
    </row>
    <row r="73" spans="1:8" ht="13.5">
      <c r="A73" s="111"/>
      <c r="B73" s="111"/>
      <c r="C73" s="111"/>
      <c r="D73" s="111"/>
      <c r="E73" s="111"/>
      <c r="F73" s="111"/>
      <c r="G73" s="111"/>
      <c r="H73" s="111"/>
    </row>
    <row r="74" spans="1:8" ht="13.5">
      <c r="A74" s="111"/>
      <c r="B74" s="111"/>
      <c r="C74" s="111"/>
      <c r="D74" s="111"/>
      <c r="E74" s="111"/>
      <c r="F74" s="111"/>
      <c r="G74" s="111"/>
      <c r="H74" s="111"/>
    </row>
    <row r="75" spans="1:8" ht="13.5">
      <c r="A75" s="111"/>
      <c r="B75" s="111"/>
      <c r="C75" s="111"/>
      <c r="D75" s="111"/>
      <c r="E75" s="111"/>
      <c r="F75" s="111"/>
      <c r="G75" s="111"/>
      <c r="H75" s="111"/>
    </row>
    <row r="76" spans="1:8" ht="13.5">
      <c r="A76" s="111"/>
      <c r="B76" s="111"/>
      <c r="C76" s="111"/>
      <c r="D76" s="111"/>
      <c r="E76" s="111"/>
      <c r="F76" s="111"/>
      <c r="G76" s="111"/>
      <c r="H76" s="111"/>
    </row>
    <row r="77" spans="1:8" ht="13.5">
      <c r="A77" s="111"/>
      <c r="B77" s="111"/>
      <c r="C77" s="111"/>
      <c r="D77" s="111"/>
      <c r="E77" s="111"/>
      <c r="F77" s="111"/>
      <c r="G77" s="111"/>
      <c r="H77" s="111"/>
    </row>
    <row r="78" spans="1:8" ht="13.5">
      <c r="A78" s="111"/>
      <c r="B78" s="111"/>
      <c r="C78" s="111"/>
      <c r="D78" s="111"/>
      <c r="E78" s="111"/>
      <c r="F78" s="111"/>
      <c r="G78" s="111"/>
      <c r="H78" s="111"/>
    </row>
    <row r="79" spans="1:8" ht="13.5">
      <c r="A79" s="111"/>
      <c r="B79" s="111"/>
      <c r="C79" s="111"/>
      <c r="D79" s="111"/>
      <c r="E79" s="111"/>
      <c r="F79" s="111"/>
      <c r="G79" s="111"/>
      <c r="H79" s="111"/>
    </row>
    <row r="80" spans="1:8" ht="13.5">
      <c r="A80" s="111"/>
      <c r="B80" s="111"/>
      <c r="C80" s="111"/>
      <c r="D80" s="111"/>
      <c r="E80" s="111"/>
      <c r="F80" s="111"/>
      <c r="G80" s="111"/>
      <c r="H80" s="111"/>
    </row>
    <row r="81" spans="1:8" ht="13.5">
      <c r="A81" s="111"/>
      <c r="B81" s="111"/>
      <c r="C81" s="111"/>
      <c r="D81" s="111"/>
      <c r="E81" s="111"/>
      <c r="F81" s="111"/>
      <c r="G81" s="111"/>
      <c r="H81" s="111"/>
    </row>
    <row r="82" spans="1:8" ht="13.5">
      <c r="A82" s="111"/>
      <c r="B82" s="111"/>
      <c r="C82" s="111"/>
      <c r="D82" s="111"/>
      <c r="E82" s="111"/>
      <c r="F82" s="111"/>
      <c r="G82" s="111"/>
      <c r="H82" s="111"/>
    </row>
    <row r="83" spans="1:8" ht="13.5">
      <c r="A83" s="111"/>
      <c r="B83" s="111"/>
      <c r="C83" s="111"/>
      <c r="D83" s="111"/>
      <c r="E83" s="111"/>
      <c r="F83" s="111"/>
      <c r="G83" s="111"/>
      <c r="H83" s="111"/>
    </row>
    <row r="84" spans="1:8" ht="13.5">
      <c r="A84" s="111"/>
      <c r="B84" s="111"/>
      <c r="C84" s="111"/>
      <c r="D84" s="111"/>
      <c r="E84" s="111"/>
      <c r="F84" s="111"/>
      <c r="G84" s="111"/>
      <c r="H84" s="111"/>
    </row>
    <row r="85" spans="1:8" ht="13.5">
      <c r="A85" s="111"/>
      <c r="B85" s="111"/>
      <c r="C85" s="111"/>
      <c r="D85" s="111"/>
      <c r="E85" s="111"/>
      <c r="F85" s="111"/>
      <c r="G85" s="111"/>
      <c r="H85" s="111"/>
    </row>
    <row r="86" spans="1:8" ht="13.5">
      <c r="A86" s="111"/>
      <c r="B86" s="111"/>
      <c r="C86" s="111"/>
      <c r="D86" s="111"/>
      <c r="E86" s="111"/>
      <c r="F86" s="111"/>
      <c r="G86" s="111"/>
      <c r="H86" s="111"/>
    </row>
    <row r="87" spans="1:8" ht="13.5">
      <c r="A87" s="111"/>
      <c r="B87" s="111"/>
      <c r="C87" s="111"/>
      <c r="D87" s="111"/>
      <c r="E87" s="111"/>
      <c r="F87" s="111"/>
      <c r="G87" s="111"/>
      <c r="H87" s="111"/>
    </row>
    <row r="88" spans="1:8" ht="13.5">
      <c r="A88" s="111"/>
      <c r="B88" s="111"/>
      <c r="C88" s="111"/>
      <c r="D88" s="111"/>
      <c r="E88" s="111"/>
      <c r="F88" s="111"/>
      <c r="G88" s="111"/>
      <c r="H88" s="111"/>
    </row>
    <row r="89" spans="1:8" ht="13.5">
      <c r="A89" s="111"/>
      <c r="B89" s="111"/>
      <c r="C89" s="111"/>
      <c r="D89" s="111"/>
      <c r="E89" s="111"/>
      <c r="F89" s="111"/>
      <c r="G89" s="111"/>
      <c r="H89" s="111"/>
    </row>
    <row r="90" spans="1:8" ht="13.5">
      <c r="A90" s="111"/>
      <c r="B90" s="111"/>
      <c r="C90" s="111"/>
      <c r="D90" s="111"/>
      <c r="E90" s="111"/>
      <c r="F90" s="111"/>
      <c r="G90" s="111"/>
      <c r="H90" s="111"/>
    </row>
    <row r="91" spans="1:8" ht="13.5">
      <c r="A91" s="111"/>
      <c r="B91" s="111"/>
      <c r="C91" s="111"/>
      <c r="D91" s="111"/>
      <c r="E91" s="111"/>
      <c r="F91" s="111"/>
      <c r="G91" s="111"/>
      <c r="H91" s="111"/>
    </row>
    <row r="92" spans="1:8" ht="13.5">
      <c r="A92" s="111"/>
      <c r="B92" s="111"/>
      <c r="C92" s="111"/>
      <c r="D92" s="111"/>
      <c r="E92" s="111"/>
      <c r="F92" s="111"/>
      <c r="G92" s="111"/>
      <c r="H92" s="111"/>
    </row>
    <row r="93" spans="1:8" ht="13.5">
      <c r="A93" s="111"/>
      <c r="B93" s="111"/>
      <c r="C93" s="111"/>
      <c r="D93" s="111"/>
      <c r="E93" s="111"/>
      <c r="F93" s="111"/>
      <c r="G93" s="111"/>
      <c r="H93" s="111"/>
    </row>
    <row r="94" spans="1:8" ht="13.5">
      <c r="A94" s="111"/>
      <c r="B94" s="111"/>
      <c r="C94" s="111"/>
      <c r="D94" s="111"/>
      <c r="E94" s="111"/>
      <c r="F94" s="111"/>
      <c r="G94" s="111"/>
      <c r="H94" s="111"/>
    </row>
    <row r="95" spans="1:8" ht="13.5">
      <c r="A95" s="111"/>
      <c r="B95" s="111"/>
      <c r="C95" s="111"/>
      <c r="D95" s="111"/>
      <c r="E95" s="111"/>
      <c r="F95" s="111"/>
      <c r="G95" s="111"/>
      <c r="H95" s="111"/>
    </row>
    <row r="96" spans="1:8" ht="13.5">
      <c r="A96" s="111"/>
      <c r="B96" s="111"/>
      <c r="C96" s="111"/>
      <c r="D96" s="111"/>
      <c r="E96" s="111"/>
      <c r="F96" s="111"/>
      <c r="G96" s="111"/>
      <c r="H96" s="111"/>
    </row>
    <row r="97" spans="1:8" ht="13.5">
      <c r="A97" s="111"/>
      <c r="B97" s="111"/>
      <c r="C97" s="111"/>
      <c r="D97" s="111"/>
      <c r="E97" s="111"/>
      <c r="F97" s="111"/>
      <c r="G97" s="111"/>
      <c r="H97" s="111"/>
    </row>
    <row r="98" spans="1:8" ht="13.5">
      <c r="A98" s="111"/>
      <c r="B98" s="111"/>
      <c r="C98" s="111"/>
      <c r="D98" s="111"/>
      <c r="E98" s="111"/>
      <c r="F98" s="111"/>
      <c r="G98" s="111"/>
      <c r="H98" s="111"/>
    </row>
    <row r="99" spans="1:8" ht="13.5">
      <c r="A99" s="111"/>
      <c r="B99" s="111"/>
      <c r="C99" s="111"/>
      <c r="D99" s="111"/>
      <c r="E99" s="111"/>
      <c r="F99" s="111"/>
      <c r="G99" s="111"/>
      <c r="H99" s="111"/>
    </row>
    <row r="100" spans="1:8" ht="13.5">
      <c r="A100" s="111"/>
      <c r="B100" s="111"/>
      <c r="C100" s="111"/>
      <c r="D100" s="111"/>
      <c r="E100" s="111"/>
      <c r="F100" s="111"/>
      <c r="G100" s="111"/>
      <c r="H100" s="111"/>
    </row>
    <row r="101" spans="1:8" ht="13.5">
      <c r="A101" s="111"/>
      <c r="B101" s="111"/>
      <c r="C101" s="111"/>
      <c r="D101" s="111"/>
      <c r="E101" s="111"/>
      <c r="F101" s="111"/>
      <c r="G101" s="111"/>
      <c r="H101" s="111"/>
    </row>
    <row r="102" spans="1:8" ht="13.5">
      <c r="A102" s="111"/>
      <c r="B102" s="111"/>
      <c r="C102" s="111"/>
      <c r="D102" s="111"/>
      <c r="E102" s="111"/>
      <c r="F102" s="111"/>
      <c r="G102" s="111"/>
      <c r="H102" s="111"/>
    </row>
    <row r="103" spans="1:8" ht="13.5">
      <c r="A103" s="111"/>
      <c r="B103" s="111"/>
      <c r="C103" s="111"/>
      <c r="D103" s="111"/>
      <c r="E103" s="111"/>
      <c r="F103" s="111"/>
      <c r="G103" s="111"/>
      <c r="H103" s="111"/>
    </row>
    <row r="104" spans="1:8" ht="13.5">
      <c r="A104" s="111"/>
      <c r="B104" s="111"/>
      <c r="C104" s="111"/>
      <c r="D104" s="111"/>
      <c r="E104" s="111"/>
      <c r="F104" s="111"/>
      <c r="G104" s="111"/>
      <c r="H104" s="111"/>
    </row>
    <row r="105" spans="1:8" ht="13.5">
      <c r="A105" s="111"/>
      <c r="B105" s="111"/>
      <c r="C105" s="111"/>
      <c r="D105" s="111"/>
      <c r="E105" s="111"/>
      <c r="F105" s="111"/>
      <c r="G105" s="111"/>
      <c r="H105" s="111"/>
    </row>
    <row r="106" spans="1:8" ht="13.5">
      <c r="A106" s="111"/>
      <c r="B106" s="111"/>
      <c r="C106" s="111"/>
      <c r="D106" s="111"/>
      <c r="E106" s="111"/>
      <c r="F106" s="111"/>
      <c r="G106" s="111"/>
      <c r="H106" s="111"/>
    </row>
    <row r="107" spans="1:8" ht="13.5">
      <c r="A107" s="111"/>
      <c r="B107" s="111"/>
      <c r="C107" s="111"/>
      <c r="D107" s="111"/>
      <c r="E107" s="111"/>
      <c r="F107" s="111"/>
      <c r="G107" s="111"/>
      <c r="H107" s="111"/>
    </row>
    <row r="108" spans="1:8" ht="13.5">
      <c r="A108" s="111"/>
      <c r="B108" s="111"/>
      <c r="C108" s="111"/>
      <c r="D108" s="111"/>
      <c r="E108" s="111"/>
      <c r="F108" s="111"/>
      <c r="G108" s="111"/>
      <c r="H108" s="111"/>
    </row>
    <row r="109" spans="1:8" ht="13.5">
      <c r="A109" s="111"/>
      <c r="B109" s="111"/>
      <c r="C109" s="111"/>
      <c r="D109" s="111"/>
      <c r="E109" s="111"/>
      <c r="F109" s="111"/>
      <c r="G109" s="111"/>
      <c r="H109" s="111"/>
    </row>
    <row r="110" spans="1:8" ht="13.5">
      <c r="A110" s="111"/>
      <c r="B110" s="111"/>
      <c r="C110" s="111"/>
      <c r="D110" s="111"/>
      <c r="E110" s="111"/>
      <c r="F110" s="111"/>
      <c r="G110" s="111"/>
      <c r="H110" s="111"/>
    </row>
    <row r="111" spans="1:8" ht="13.5">
      <c r="A111" s="111"/>
      <c r="B111" s="111"/>
      <c r="C111" s="111"/>
      <c r="D111" s="111"/>
      <c r="E111" s="111"/>
      <c r="F111" s="111"/>
      <c r="G111" s="111"/>
      <c r="H111" s="111"/>
    </row>
    <row r="112" spans="1:8" ht="13.5">
      <c r="A112" s="111"/>
      <c r="B112" s="111"/>
      <c r="C112" s="111"/>
      <c r="D112" s="111"/>
      <c r="E112" s="111"/>
      <c r="F112" s="111"/>
      <c r="G112" s="111"/>
      <c r="H112" s="111"/>
    </row>
    <row r="113" spans="1:8" ht="13.5">
      <c r="A113" s="111"/>
      <c r="B113" s="111"/>
      <c r="C113" s="111"/>
      <c r="D113" s="111"/>
      <c r="E113" s="111"/>
      <c r="F113" s="111"/>
      <c r="G113" s="111"/>
      <c r="H113" s="111"/>
    </row>
    <row r="114" spans="1:8" ht="13.5">
      <c r="A114" s="111"/>
      <c r="B114" s="111"/>
      <c r="C114" s="111"/>
      <c r="D114" s="111"/>
      <c r="E114" s="111"/>
      <c r="F114" s="111"/>
      <c r="G114" s="111"/>
      <c r="H114" s="111"/>
    </row>
    <row r="115" spans="1:8" ht="13.5">
      <c r="A115" s="111"/>
      <c r="B115" s="111"/>
      <c r="C115" s="111"/>
      <c r="D115" s="111"/>
      <c r="E115" s="111"/>
      <c r="F115" s="111"/>
      <c r="G115" s="111"/>
      <c r="H115" s="111"/>
    </row>
    <row r="116" spans="1:8" ht="13.5">
      <c r="A116" s="111"/>
      <c r="B116" s="111"/>
      <c r="C116" s="111"/>
      <c r="D116" s="111"/>
      <c r="E116" s="111"/>
      <c r="F116" s="111"/>
      <c r="G116" s="111"/>
      <c r="H116" s="111"/>
    </row>
    <row r="117" spans="1:8" ht="13.5">
      <c r="A117" s="111"/>
      <c r="B117" s="111"/>
      <c r="C117" s="111"/>
      <c r="D117" s="111"/>
      <c r="E117" s="111"/>
      <c r="F117" s="111"/>
      <c r="G117" s="111"/>
      <c r="H117" s="111"/>
    </row>
    <row r="118" spans="1:8" ht="13.5">
      <c r="A118" s="111"/>
      <c r="B118" s="111"/>
      <c r="C118" s="111"/>
      <c r="D118" s="111"/>
      <c r="E118" s="111"/>
      <c r="F118" s="111"/>
      <c r="G118" s="111"/>
      <c r="H118" s="111"/>
    </row>
    <row r="119" spans="1:8" ht="13.5">
      <c r="A119" s="111"/>
      <c r="B119" s="111"/>
      <c r="C119" s="111"/>
      <c r="D119" s="111"/>
      <c r="E119" s="111"/>
      <c r="F119" s="111"/>
      <c r="G119" s="111"/>
      <c r="H119" s="111"/>
    </row>
    <row r="120" spans="1:8" ht="13.5">
      <c r="A120" s="111"/>
      <c r="B120" s="111"/>
      <c r="C120" s="111"/>
      <c r="D120" s="111"/>
      <c r="E120" s="111"/>
      <c r="F120" s="111"/>
      <c r="G120" s="111"/>
      <c r="H120" s="111"/>
    </row>
    <row r="121" spans="1:8" ht="13.5">
      <c r="A121" s="111"/>
      <c r="B121" s="111"/>
      <c r="C121" s="111"/>
      <c r="D121" s="111"/>
      <c r="E121" s="111"/>
      <c r="F121" s="111"/>
      <c r="G121" s="111"/>
      <c r="H121" s="111"/>
    </row>
    <row r="122" spans="1:8" ht="13.5">
      <c r="A122" s="111"/>
      <c r="B122" s="111"/>
      <c r="C122" s="111"/>
      <c r="D122" s="111"/>
      <c r="E122" s="111"/>
      <c r="F122" s="111"/>
      <c r="G122" s="111"/>
      <c r="H122" s="111"/>
    </row>
    <row r="123" spans="1:8" ht="13.5">
      <c r="A123" s="111"/>
      <c r="B123" s="111"/>
      <c r="C123" s="111"/>
      <c r="D123" s="111"/>
      <c r="E123" s="111"/>
      <c r="F123" s="111"/>
      <c r="G123" s="111"/>
      <c r="H123" s="111"/>
    </row>
    <row r="124" spans="1:8" ht="13.5">
      <c r="A124" s="111"/>
      <c r="B124" s="111"/>
      <c r="C124" s="111"/>
      <c r="D124" s="111"/>
      <c r="E124" s="111"/>
      <c r="F124" s="111"/>
      <c r="G124" s="111"/>
      <c r="H124" s="111"/>
    </row>
    <row r="125" spans="1:8" ht="13.5">
      <c r="A125" s="111"/>
      <c r="B125" s="111"/>
      <c r="C125" s="111"/>
      <c r="D125" s="111"/>
      <c r="E125" s="111"/>
      <c r="F125" s="111"/>
      <c r="G125" s="111"/>
      <c r="H125" s="111"/>
    </row>
    <row r="126" spans="1:8" ht="13.5">
      <c r="A126" s="111"/>
      <c r="B126" s="111"/>
      <c r="C126" s="111"/>
      <c r="D126" s="111"/>
      <c r="E126" s="111"/>
      <c r="F126" s="111"/>
      <c r="G126" s="111"/>
      <c r="H126" s="111"/>
    </row>
    <row r="127" spans="1:8" ht="13.5">
      <c r="A127" s="111"/>
      <c r="B127" s="111"/>
      <c r="C127" s="111"/>
      <c r="D127" s="111"/>
      <c r="E127" s="111"/>
      <c r="F127" s="111"/>
      <c r="G127" s="111"/>
      <c r="H127" s="111"/>
    </row>
    <row r="128" spans="1:8" ht="13.5">
      <c r="A128" s="111"/>
      <c r="B128" s="111"/>
      <c r="C128" s="111"/>
      <c r="D128" s="111"/>
      <c r="E128" s="111"/>
      <c r="F128" s="111"/>
      <c r="G128" s="111"/>
      <c r="H128" s="111"/>
    </row>
    <row r="129" spans="1:8" ht="13.5">
      <c r="A129" s="111"/>
      <c r="B129" s="111"/>
      <c r="C129" s="111"/>
      <c r="D129" s="111"/>
      <c r="E129" s="111"/>
      <c r="F129" s="111"/>
      <c r="G129" s="111"/>
      <c r="H129" s="111"/>
    </row>
    <row r="130" spans="1:8" ht="13.5">
      <c r="A130" s="111"/>
      <c r="B130" s="111"/>
      <c r="C130" s="111"/>
      <c r="D130" s="111"/>
      <c r="E130" s="111"/>
      <c r="F130" s="111"/>
      <c r="G130" s="111"/>
      <c r="H130" s="111"/>
    </row>
    <row r="131" spans="1:8" ht="13.5">
      <c r="A131" s="111"/>
      <c r="B131" s="111"/>
      <c r="C131" s="111"/>
      <c r="D131" s="111"/>
      <c r="E131" s="111"/>
      <c r="F131" s="111"/>
      <c r="G131" s="111"/>
      <c r="H131" s="111"/>
    </row>
    <row r="132" spans="1:8" ht="13.5">
      <c r="A132" s="111"/>
      <c r="B132" s="111"/>
      <c r="C132" s="111"/>
      <c r="D132" s="111"/>
      <c r="E132" s="111"/>
      <c r="F132" s="111"/>
      <c r="G132" s="111"/>
      <c r="H132" s="111"/>
    </row>
    <row r="133" spans="1:8" ht="13.5">
      <c r="A133" s="111"/>
      <c r="B133" s="111"/>
      <c r="C133" s="111"/>
      <c r="D133" s="111"/>
      <c r="E133" s="111"/>
      <c r="F133" s="111"/>
      <c r="G133" s="111"/>
      <c r="H133" s="111"/>
    </row>
    <row r="134" spans="1:8" ht="13.5">
      <c r="A134" s="111"/>
      <c r="B134" s="111"/>
      <c r="C134" s="111"/>
      <c r="D134" s="111"/>
      <c r="E134" s="111"/>
      <c r="F134" s="111"/>
      <c r="G134" s="111"/>
      <c r="H134" s="111"/>
    </row>
    <row r="135" spans="1:8" ht="13.5">
      <c r="A135" s="111"/>
      <c r="B135" s="111"/>
      <c r="C135" s="111"/>
      <c r="D135" s="111"/>
      <c r="E135" s="111"/>
      <c r="F135" s="111"/>
      <c r="G135" s="111"/>
      <c r="H135" s="111"/>
    </row>
    <row r="136" spans="1:8" ht="13.5">
      <c r="A136" s="111"/>
      <c r="B136" s="111"/>
      <c r="C136" s="111"/>
      <c r="D136" s="111"/>
      <c r="E136" s="111"/>
      <c r="F136" s="111"/>
      <c r="G136" s="111"/>
      <c r="H136" s="111"/>
    </row>
    <row r="137" spans="1:8" ht="13.5">
      <c r="A137" s="111"/>
      <c r="B137" s="111"/>
      <c r="C137" s="111"/>
      <c r="D137" s="111"/>
      <c r="E137" s="111"/>
      <c r="F137" s="111"/>
      <c r="G137" s="111"/>
      <c r="H137" s="111"/>
    </row>
    <row r="138" spans="1:8" ht="13.5">
      <c r="A138" s="111"/>
      <c r="B138" s="111"/>
      <c r="C138" s="111"/>
      <c r="D138" s="111"/>
      <c r="E138" s="111"/>
      <c r="F138" s="111"/>
      <c r="G138" s="111"/>
      <c r="H138" s="111"/>
    </row>
    <row r="139" spans="1:8" ht="13.5">
      <c r="A139" s="111"/>
      <c r="B139" s="111"/>
      <c r="C139" s="111"/>
      <c r="D139" s="111"/>
      <c r="E139" s="111"/>
      <c r="F139" s="111"/>
      <c r="G139" s="111"/>
      <c r="H139" s="111"/>
    </row>
    <row r="140" spans="1:8" ht="13.5">
      <c r="A140" s="111"/>
      <c r="B140" s="111"/>
      <c r="C140" s="111"/>
      <c r="D140" s="111"/>
      <c r="E140" s="111"/>
      <c r="F140" s="111"/>
      <c r="G140" s="111"/>
      <c r="H140" s="111"/>
    </row>
  </sheetData>
  <sheetProtection password="86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49"/>
  <sheetViews>
    <sheetView showGridLines="0" showZeros="0" workbookViewId="0" topLeftCell="A1">
      <selection activeCell="F49" sqref="F49"/>
    </sheetView>
  </sheetViews>
  <sheetFormatPr defaultColWidth="9.140625" defaultRowHeight="12.75"/>
  <cols>
    <col min="1" max="1" width="29.7109375" style="111" customWidth="1"/>
    <col min="2" max="4" width="6.421875" style="111" customWidth="1"/>
    <col min="5" max="5" width="11.8515625" style="111" customWidth="1"/>
    <col min="6" max="14" width="11.421875" style="111" customWidth="1"/>
    <col min="15" max="16384" width="8.7109375" style="111" customWidth="1"/>
  </cols>
  <sheetData>
    <row r="1" spans="1:11" ht="12.75">
      <c r="A1" s="101"/>
      <c r="B1" s="101"/>
      <c r="C1" s="136"/>
      <c r="D1" s="136"/>
      <c r="E1" s="90"/>
      <c r="F1" s="90"/>
      <c r="G1" s="90"/>
      <c r="H1" s="90"/>
      <c r="I1" s="90"/>
      <c r="J1" s="137" t="str">
        <f>+VN!G1</f>
        <v>Empresa:</v>
      </c>
      <c r="K1" s="138" t="str">
        <f>+Pressupostos!E1</f>
        <v>XPTO, Lda</v>
      </c>
    </row>
    <row r="2" spans="1:11" ht="12.75">
      <c r="A2" s="94"/>
      <c r="B2" s="94"/>
      <c r="C2" s="94"/>
      <c r="D2" s="94"/>
      <c r="E2" s="90"/>
      <c r="F2" s="90"/>
      <c r="G2" s="90"/>
      <c r="H2" s="90"/>
      <c r="I2" s="90"/>
      <c r="J2" s="90"/>
      <c r="K2" s="95" t="str">
        <f>+Pressupostos!B9</f>
        <v>Euros</v>
      </c>
    </row>
    <row r="3" spans="1:11" ht="12.75">
      <c r="A3" s="94"/>
      <c r="B3" s="94"/>
      <c r="C3" s="94"/>
      <c r="D3" s="94"/>
      <c r="E3" s="90"/>
      <c r="F3" s="90"/>
      <c r="G3" s="90"/>
      <c r="H3" s="90"/>
      <c r="I3" s="90"/>
      <c r="J3" s="90"/>
      <c r="K3" s="95"/>
    </row>
    <row r="4" spans="1:11" ht="15.75">
      <c r="A4" s="458" t="s">
        <v>137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>
      <c r="A7" s="99"/>
      <c r="B7" s="139"/>
      <c r="C7" s="140"/>
      <c r="D7" s="139"/>
      <c r="E7" s="122"/>
      <c r="F7" s="97">
        <f>+VN!C8</f>
        <v>2007</v>
      </c>
      <c r="G7" s="97">
        <f>+VN!D8</f>
        <v>2008</v>
      </c>
      <c r="H7" s="97">
        <f>+VN!E8</f>
        <v>2009</v>
      </c>
      <c r="I7" s="97">
        <f>+VN!F8</f>
        <v>2010</v>
      </c>
      <c r="J7" s="97">
        <f>+VN!G8</f>
        <v>2011</v>
      </c>
      <c r="K7" s="97">
        <f>+VN!H8</f>
        <v>2012</v>
      </c>
    </row>
    <row r="8" spans="1:11" ht="12.75">
      <c r="A8" s="141" t="s">
        <v>64</v>
      </c>
      <c r="B8" s="142"/>
      <c r="C8" s="143"/>
      <c r="D8" s="143"/>
      <c r="E8" s="144"/>
      <c r="F8" s="56">
        <v>12</v>
      </c>
      <c r="G8" s="150">
        <v>12</v>
      </c>
      <c r="H8" s="150">
        <v>12</v>
      </c>
      <c r="I8" s="150">
        <v>12</v>
      </c>
      <c r="J8" s="150">
        <v>12</v>
      </c>
      <c r="K8" s="150">
        <v>12</v>
      </c>
    </row>
    <row r="9" spans="1:11" ht="12.75">
      <c r="A9" s="141" t="s">
        <v>139</v>
      </c>
      <c r="B9" s="142"/>
      <c r="C9" s="143"/>
      <c r="D9" s="143"/>
      <c r="E9" s="144"/>
      <c r="F9" s="145">
        <v>0</v>
      </c>
      <c r="G9" s="52">
        <v>0.03</v>
      </c>
      <c r="H9" s="52">
        <v>0.03</v>
      </c>
      <c r="I9" s="52">
        <v>0.03</v>
      </c>
      <c r="J9" s="52">
        <v>0.03</v>
      </c>
      <c r="K9" s="52">
        <v>0.03</v>
      </c>
    </row>
    <row r="10" spans="1:11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2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2.75">
      <c r="A12" s="99"/>
      <c r="B12" s="97" t="s">
        <v>236</v>
      </c>
      <c r="C12" s="97" t="s">
        <v>3</v>
      </c>
      <c r="D12" s="97" t="s">
        <v>141</v>
      </c>
      <c r="E12" s="97" t="s">
        <v>140</v>
      </c>
      <c r="F12" s="97">
        <f>+VN!C8</f>
        <v>2007</v>
      </c>
      <c r="G12" s="97">
        <f>+VN!D8</f>
        <v>2008</v>
      </c>
      <c r="H12" s="97">
        <f>+VN!E8</f>
        <v>2009</v>
      </c>
      <c r="I12" s="97">
        <f>+VN!F8</f>
        <v>2010</v>
      </c>
      <c r="J12" s="97">
        <f>+VN!G8</f>
        <v>2011</v>
      </c>
      <c r="K12" s="97">
        <f>+VN!H8</f>
        <v>2012</v>
      </c>
    </row>
    <row r="13" spans="1:11" ht="12.75">
      <c r="A13" s="146" t="s">
        <v>58</v>
      </c>
      <c r="B13" s="38">
        <v>0.21</v>
      </c>
      <c r="C13" s="151">
        <f>1-D13</f>
        <v>0</v>
      </c>
      <c r="D13" s="38">
        <v>1</v>
      </c>
      <c r="E13" s="7"/>
      <c r="F13" s="58">
        <f>+E13*$F$8</f>
        <v>0</v>
      </c>
      <c r="G13" s="58">
        <f>+E13*$G$8*(1+$G$9)</f>
        <v>0</v>
      </c>
      <c r="H13" s="58">
        <f>+G13*(1+$H$9)</f>
        <v>0</v>
      </c>
      <c r="I13" s="58">
        <f>+H13*(1+$I$9)</f>
        <v>0</v>
      </c>
      <c r="J13" s="58">
        <f>+I13*(1+$J$9)</f>
        <v>0</v>
      </c>
      <c r="K13" s="58">
        <f>+J13*(1+$K$9)</f>
        <v>0</v>
      </c>
    </row>
    <row r="14" spans="1:11" ht="12.75">
      <c r="A14" s="147" t="s">
        <v>70</v>
      </c>
      <c r="B14" s="38">
        <v>0.21</v>
      </c>
      <c r="C14" s="151">
        <f aca="true" t="shared" si="0" ref="C14:C36">1-D14</f>
        <v>0.8</v>
      </c>
      <c r="D14" s="38">
        <v>0.2</v>
      </c>
      <c r="E14" s="7"/>
      <c r="F14" s="58">
        <f aca="true" t="shared" si="1" ref="F14:F37">+E14*$F$8</f>
        <v>0</v>
      </c>
      <c r="G14" s="58">
        <f aca="true" t="shared" si="2" ref="G14:G37">+E14*$G$8*(1+$G$9)</f>
        <v>0</v>
      </c>
      <c r="H14" s="58">
        <f aca="true" t="shared" si="3" ref="H14:H37">+G14*(1+$H$9)</f>
        <v>0</v>
      </c>
      <c r="I14" s="58">
        <f aca="true" t="shared" si="4" ref="I14:I37">+H14*(1+$I$9)</f>
        <v>0</v>
      </c>
      <c r="J14" s="58">
        <f aca="true" t="shared" si="5" ref="J14:J37">+I14*(1+$J$9)</f>
        <v>0</v>
      </c>
      <c r="K14" s="58">
        <f aca="true" t="shared" si="6" ref="K14:K37">+J14*(1+$K$9)</f>
        <v>0</v>
      </c>
    </row>
    <row r="15" spans="1:11" ht="12.75">
      <c r="A15" s="147" t="s">
        <v>71</v>
      </c>
      <c r="B15" s="38">
        <v>0.21</v>
      </c>
      <c r="C15" s="151">
        <f t="shared" si="0"/>
        <v>0</v>
      </c>
      <c r="D15" s="38">
        <v>1</v>
      </c>
      <c r="E15" s="7"/>
      <c r="F15" s="58">
        <f t="shared" si="1"/>
        <v>0</v>
      </c>
      <c r="G15" s="58">
        <f t="shared" si="2"/>
        <v>0</v>
      </c>
      <c r="H15" s="58">
        <f t="shared" si="3"/>
        <v>0</v>
      </c>
      <c r="I15" s="58">
        <f t="shared" si="4"/>
        <v>0</v>
      </c>
      <c r="J15" s="58">
        <f t="shared" si="5"/>
        <v>0</v>
      </c>
      <c r="K15" s="58">
        <f t="shared" si="6"/>
        <v>0</v>
      </c>
    </row>
    <row r="16" spans="1:11" ht="12.75">
      <c r="A16" s="147" t="s">
        <v>72</v>
      </c>
      <c r="B16" s="38">
        <v>0.05</v>
      </c>
      <c r="C16" s="151">
        <f t="shared" si="0"/>
        <v>0.8</v>
      </c>
      <c r="D16" s="38">
        <v>0.2</v>
      </c>
      <c r="E16" s="7"/>
      <c r="F16" s="58">
        <f t="shared" si="1"/>
        <v>0</v>
      </c>
      <c r="G16" s="58">
        <f t="shared" si="2"/>
        <v>0</v>
      </c>
      <c r="H16" s="58">
        <f t="shared" si="3"/>
        <v>0</v>
      </c>
      <c r="I16" s="58">
        <f t="shared" si="4"/>
        <v>0</v>
      </c>
      <c r="J16" s="58">
        <f t="shared" si="5"/>
        <v>0</v>
      </c>
      <c r="K16" s="58">
        <f t="shared" si="6"/>
        <v>0</v>
      </c>
    </row>
    <row r="17" spans="1:11" ht="12.75">
      <c r="A17" s="147" t="s">
        <v>59</v>
      </c>
      <c r="B17" s="38">
        <v>0.21</v>
      </c>
      <c r="C17" s="151">
        <f t="shared" si="0"/>
        <v>0</v>
      </c>
      <c r="D17" s="38">
        <v>1</v>
      </c>
      <c r="E17" s="7"/>
      <c r="F17" s="58">
        <f t="shared" si="1"/>
        <v>0</v>
      </c>
      <c r="G17" s="58">
        <f t="shared" si="2"/>
        <v>0</v>
      </c>
      <c r="H17" s="58">
        <f t="shared" si="3"/>
        <v>0</v>
      </c>
      <c r="I17" s="58">
        <f t="shared" si="4"/>
        <v>0</v>
      </c>
      <c r="J17" s="58">
        <f t="shared" si="5"/>
        <v>0</v>
      </c>
      <c r="K17" s="58">
        <f t="shared" si="6"/>
        <v>0</v>
      </c>
    </row>
    <row r="18" spans="1:11" ht="12.75">
      <c r="A18" s="147" t="s">
        <v>73</v>
      </c>
      <c r="B18" s="38">
        <v>0.21</v>
      </c>
      <c r="C18" s="151">
        <f t="shared" si="0"/>
        <v>0</v>
      </c>
      <c r="D18" s="38">
        <v>1</v>
      </c>
      <c r="E18" s="7"/>
      <c r="F18" s="58">
        <f t="shared" si="1"/>
        <v>0</v>
      </c>
      <c r="G18" s="58">
        <f t="shared" si="2"/>
        <v>0</v>
      </c>
      <c r="H18" s="58">
        <f t="shared" si="3"/>
        <v>0</v>
      </c>
      <c r="I18" s="58">
        <f t="shared" si="4"/>
        <v>0</v>
      </c>
      <c r="J18" s="58">
        <f t="shared" si="5"/>
        <v>0</v>
      </c>
      <c r="K18" s="58">
        <f t="shared" si="6"/>
        <v>0</v>
      </c>
    </row>
    <row r="19" spans="1:11" ht="12.75">
      <c r="A19" s="147" t="s">
        <v>316</v>
      </c>
      <c r="B19" s="38">
        <v>0.21</v>
      </c>
      <c r="C19" s="151">
        <f t="shared" si="0"/>
        <v>0.8</v>
      </c>
      <c r="D19" s="38">
        <v>0.2</v>
      </c>
      <c r="E19" s="7"/>
      <c r="F19" s="58">
        <f t="shared" si="1"/>
        <v>0</v>
      </c>
      <c r="G19" s="58">
        <f t="shared" si="2"/>
        <v>0</v>
      </c>
      <c r="H19" s="58">
        <f t="shared" si="3"/>
        <v>0</v>
      </c>
      <c r="I19" s="58">
        <f t="shared" si="4"/>
        <v>0</v>
      </c>
      <c r="J19" s="58">
        <f t="shared" si="5"/>
        <v>0</v>
      </c>
      <c r="K19" s="58">
        <f t="shared" si="6"/>
        <v>0</v>
      </c>
    </row>
    <row r="20" spans="1:11" ht="12.75">
      <c r="A20" s="147" t="s">
        <v>317</v>
      </c>
      <c r="B20" s="38">
        <v>0.21</v>
      </c>
      <c r="C20" s="151">
        <f t="shared" si="0"/>
        <v>0.8</v>
      </c>
      <c r="D20" s="38">
        <v>0.2</v>
      </c>
      <c r="E20" s="7"/>
      <c r="F20" s="58">
        <f t="shared" si="1"/>
        <v>0</v>
      </c>
      <c r="G20" s="58">
        <f t="shared" si="2"/>
        <v>0</v>
      </c>
      <c r="H20" s="58">
        <f t="shared" si="3"/>
        <v>0</v>
      </c>
      <c r="I20" s="58">
        <f t="shared" si="4"/>
        <v>0</v>
      </c>
      <c r="J20" s="58">
        <f t="shared" si="5"/>
        <v>0</v>
      </c>
      <c r="K20" s="58">
        <f t="shared" si="6"/>
        <v>0</v>
      </c>
    </row>
    <row r="21" spans="1:11" ht="12.75">
      <c r="A21" s="147" t="s">
        <v>74</v>
      </c>
      <c r="B21" s="38">
        <v>0.21</v>
      </c>
      <c r="C21" s="151">
        <f t="shared" si="0"/>
        <v>0</v>
      </c>
      <c r="D21" s="38">
        <v>1</v>
      </c>
      <c r="E21" s="7"/>
      <c r="F21" s="58">
        <f t="shared" si="1"/>
        <v>0</v>
      </c>
      <c r="G21" s="58">
        <f t="shared" si="2"/>
        <v>0</v>
      </c>
      <c r="H21" s="58">
        <f t="shared" si="3"/>
        <v>0</v>
      </c>
      <c r="I21" s="58">
        <f t="shared" si="4"/>
        <v>0</v>
      </c>
      <c r="J21" s="58">
        <f t="shared" si="5"/>
        <v>0</v>
      </c>
      <c r="K21" s="58">
        <f t="shared" si="6"/>
        <v>0</v>
      </c>
    </row>
    <row r="22" spans="1:11" ht="12.75">
      <c r="A22" s="147" t="s">
        <v>75</v>
      </c>
      <c r="B22" s="38">
        <v>0.21</v>
      </c>
      <c r="C22" s="151">
        <f t="shared" si="0"/>
        <v>0</v>
      </c>
      <c r="D22" s="38">
        <v>1</v>
      </c>
      <c r="E22" s="7"/>
      <c r="F22" s="58">
        <f t="shared" si="1"/>
        <v>0</v>
      </c>
      <c r="G22" s="58">
        <f t="shared" si="2"/>
        <v>0</v>
      </c>
      <c r="H22" s="58">
        <f t="shared" si="3"/>
        <v>0</v>
      </c>
      <c r="I22" s="58">
        <f t="shared" si="4"/>
        <v>0</v>
      </c>
      <c r="J22" s="58">
        <f t="shared" si="5"/>
        <v>0</v>
      </c>
      <c r="K22" s="58">
        <f t="shared" si="6"/>
        <v>0</v>
      </c>
    </row>
    <row r="23" spans="1:11" ht="12.75">
      <c r="A23" s="147" t="s">
        <v>76</v>
      </c>
      <c r="B23" s="38">
        <v>0.21</v>
      </c>
      <c r="C23" s="151">
        <f t="shared" si="0"/>
        <v>0</v>
      </c>
      <c r="D23" s="38">
        <v>1</v>
      </c>
      <c r="E23" s="7"/>
      <c r="F23" s="58">
        <f t="shared" si="1"/>
        <v>0</v>
      </c>
      <c r="G23" s="58">
        <f t="shared" si="2"/>
        <v>0</v>
      </c>
      <c r="H23" s="58">
        <f t="shared" si="3"/>
        <v>0</v>
      </c>
      <c r="I23" s="58">
        <f t="shared" si="4"/>
        <v>0</v>
      </c>
      <c r="J23" s="58">
        <f t="shared" si="5"/>
        <v>0</v>
      </c>
      <c r="K23" s="58">
        <f t="shared" si="6"/>
        <v>0</v>
      </c>
    </row>
    <row r="24" spans="1:11" ht="12.75">
      <c r="A24" s="147" t="s">
        <v>77</v>
      </c>
      <c r="B24" s="38">
        <v>0.21</v>
      </c>
      <c r="C24" s="151">
        <f t="shared" si="0"/>
        <v>0.7</v>
      </c>
      <c r="D24" s="38">
        <v>0.3</v>
      </c>
      <c r="E24" s="7"/>
      <c r="F24" s="58">
        <f t="shared" si="1"/>
        <v>0</v>
      </c>
      <c r="G24" s="58">
        <f t="shared" si="2"/>
        <v>0</v>
      </c>
      <c r="H24" s="58">
        <f t="shared" si="3"/>
        <v>0</v>
      </c>
      <c r="I24" s="58">
        <f t="shared" si="4"/>
        <v>0</v>
      </c>
      <c r="J24" s="58">
        <f t="shared" si="5"/>
        <v>0</v>
      </c>
      <c r="K24" s="58">
        <f t="shared" si="6"/>
        <v>0</v>
      </c>
    </row>
    <row r="25" spans="1:11" ht="12.75">
      <c r="A25" s="147" t="s">
        <v>78</v>
      </c>
      <c r="B25" s="38"/>
      <c r="C25" s="151">
        <f t="shared" si="0"/>
        <v>1</v>
      </c>
      <c r="D25" s="38"/>
      <c r="E25" s="7"/>
      <c r="F25" s="58">
        <f t="shared" si="1"/>
        <v>0</v>
      </c>
      <c r="G25" s="58">
        <f t="shared" si="2"/>
        <v>0</v>
      </c>
      <c r="H25" s="58">
        <f t="shared" si="3"/>
        <v>0</v>
      </c>
      <c r="I25" s="58">
        <f t="shared" si="4"/>
        <v>0</v>
      </c>
      <c r="J25" s="58">
        <f t="shared" si="5"/>
        <v>0</v>
      </c>
      <c r="K25" s="58">
        <f t="shared" si="6"/>
        <v>0</v>
      </c>
    </row>
    <row r="26" spans="1:11" ht="12.75">
      <c r="A26" s="147" t="s">
        <v>60</v>
      </c>
      <c r="B26" s="38">
        <v>0.21</v>
      </c>
      <c r="C26" s="151">
        <f t="shared" si="0"/>
        <v>0</v>
      </c>
      <c r="D26" s="38">
        <v>1</v>
      </c>
      <c r="E26" s="7"/>
      <c r="F26" s="58">
        <f t="shared" si="1"/>
        <v>0</v>
      </c>
      <c r="G26" s="58">
        <f t="shared" si="2"/>
        <v>0</v>
      </c>
      <c r="H26" s="58">
        <f t="shared" si="3"/>
        <v>0</v>
      </c>
      <c r="I26" s="58">
        <f t="shared" si="4"/>
        <v>0</v>
      </c>
      <c r="J26" s="58">
        <f t="shared" si="5"/>
        <v>0</v>
      </c>
      <c r="K26" s="58">
        <f t="shared" si="6"/>
        <v>0</v>
      </c>
    </row>
    <row r="27" spans="1:11" ht="12.75">
      <c r="A27" s="147" t="s">
        <v>79</v>
      </c>
      <c r="B27" s="38">
        <v>0.21</v>
      </c>
      <c r="C27" s="151">
        <f t="shared" si="0"/>
        <v>0</v>
      </c>
      <c r="D27" s="38">
        <v>1</v>
      </c>
      <c r="E27" s="7"/>
      <c r="F27" s="58">
        <f t="shared" si="1"/>
        <v>0</v>
      </c>
      <c r="G27" s="58">
        <f t="shared" si="2"/>
        <v>0</v>
      </c>
      <c r="H27" s="58">
        <f t="shared" si="3"/>
        <v>0</v>
      </c>
      <c r="I27" s="58">
        <f t="shared" si="4"/>
        <v>0</v>
      </c>
      <c r="J27" s="58">
        <f t="shared" si="5"/>
        <v>0</v>
      </c>
      <c r="K27" s="58">
        <f t="shared" si="6"/>
        <v>0</v>
      </c>
    </row>
    <row r="28" spans="1:11" ht="12.75">
      <c r="A28" s="147" t="s">
        <v>61</v>
      </c>
      <c r="B28" s="38">
        <v>0.21</v>
      </c>
      <c r="C28" s="151">
        <f t="shared" si="0"/>
        <v>0</v>
      </c>
      <c r="D28" s="38">
        <v>1</v>
      </c>
      <c r="E28" s="7"/>
      <c r="F28" s="58">
        <f t="shared" si="1"/>
        <v>0</v>
      </c>
      <c r="G28" s="58">
        <f t="shared" si="2"/>
        <v>0</v>
      </c>
      <c r="H28" s="58">
        <f t="shared" si="3"/>
        <v>0</v>
      </c>
      <c r="I28" s="58">
        <f t="shared" si="4"/>
        <v>0</v>
      </c>
      <c r="J28" s="58">
        <f t="shared" si="5"/>
        <v>0</v>
      </c>
      <c r="K28" s="58">
        <f t="shared" si="6"/>
        <v>0</v>
      </c>
    </row>
    <row r="29" spans="1:11" ht="12.75">
      <c r="A29" s="147" t="s">
        <v>62</v>
      </c>
      <c r="B29" s="38">
        <v>0.21</v>
      </c>
      <c r="C29" s="151">
        <f t="shared" si="0"/>
        <v>0</v>
      </c>
      <c r="D29" s="38">
        <v>1</v>
      </c>
      <c r="E29" s="7"/>
      <c r="F29" s="58">
        <f t="shared" si="1"/>
        <v>0</v>
      </c>
      <c r="G29" s="58">
        <f t="shared" si="2"/>
        <v>0</v>
      </c>
      <c r="H29" s="58">
        <f t="shared" si="3"/>
        <v>0</v>
      </c>
      <c r="I29" s="58">
        <f t="shared" si="4"/>
        <v>0</v>
      </c>
      <c r="J29" s="58">
        <f t="shared" si="5"/>
        <v>0</v>
      </c>
      <c r="K29" s="58">
        <f t="shared" si="6"/>
        <v>0</v>
      </c>
    </row>
    <row r="30" spans="1:11" ht="12.75">
      <c r="A30" s="147" t="s">
        <v>85</v>
      </c>
      <c r="B30" s="38">
        <v>0.21</v>
      </c>
      <c r="C30" s="151">
        <f t="shared" si="0"/>
        <v>1</v>
      </c>
      <c r="D30" s="38"/>
      <c r="E30" s="7"/>
      <c r="F30" s="58">
        <f t="shared" si="1"/>
        <v>0</v>
      </c>
      <c r="G30" s="58">
        <f t="shared" si="2"/>
        <v>0</v>
      </c>
      <c r="H30" s="58">
        <f t="shared" si="3"/>
        <v>0</v>
      </c>
      <c r="I30" s="58">
        <f t="shared" si="4"/>
        <v>0</v>
      </c>
      <c r="J30" s="58">
        <f t="shared" si="5"/>
        <v>0</v>
      </c>
      <c r="K30" s="58">
        <f t="shared" si="6"/>
        <v>0</v>
      </c>
    </row>
    <row r="31" spans="1:11" ht="12.75">
      <c r="A31" s="147" t="s">
        <v>80</v>
      </c>
      <c r="B31" s="38">
        <v>0.21</v>
      </c>
      <c r="C31" s="151">
        <f t="shared" si="0"/>
        <v>0</v>
      </c>
      <c r="D31" s="38">
        <v>1</v>
      </c>
      <c r="E31" s="7"/>
      <c r="F31" s="58">
        <f t="shared" si="1"/>
        <v>0</v>
      </c>
      <c r="G31" s="58">
        <f t="shared" si="2"/>
        <v>0</v>
      </c>
      <c r="H31" s="58">
        <f t="shared" si="3"/>
        <v>0</v>
      </c>
      <c r="I31" s="58">
        <f t="shared" si="4"/>
        <v>0</v>
      </c>
      <c r="J31" s="58">
        <f t="shared" si="5"/>
        <v>0</v>
      </c>
      <c r="K31" s="58">
        <f t="shared" si="6"/>
        <v>0</v>
      </c>
    </row>
    <row r="32" spans="1:11" ht="12.75">
      <c r="A32" s="147" t="s">
        <v>81</v>
      </c>
      <c r="B32" s="38">
        <v>0.21</v>
      </c>
      <c r="C32" s="151">
        <f t="shared" si="0"/>
        <v>0.7</v>
      </c>
      <c r="D32" s="38">
        <v>0.3</v>
      </c>
      <c r="E32" s="7"/>
      <c r="F32" s="58">
        <f t="shared" si="1"/>
        <v>0</v>
      </c>
      <c r="G32" s="58">
        <f t="shared" si="2"/>
        <v>0</v>
      </c>
      <c r="H32" s="58">
        <f t="shared" si="3"/>
        <v>0</v>
      </c>
      <c r="I32" s="58">
        <f t="shared" si="4"/>
        <v>0</v>
      </c>
      <c r="J32" s="58">
        <f t="shared" si="5"/>
        <v>0</v>
      </c>
      <c r="K32" s="58">
        <f t="shared" si="6"/>
        <v>0</v>
      </c>
    </row>
    <row r="33" spans="1:11" ht="12.75">
      <c r="A33" s="147" t="s">
        <v>82</v>
      </c>
      <c r="B33" s="38">
        <v>0.21</v>
      </c>
      <c r="C33" s="151">
        <f t="shared" si="0"/>
        <v>0</v>
      </c>
      <c r="D33" s="38">
        <v>1</v>
      </c>
      <c r="E33" s="7"/>
      <c r="F33" s="58">
        <f t="shared" si="1"/>
        <v>0</v>
      </c>
      <c r="G33" s="58">
        <f t="shared" si="2"/>
        <v>0</v>
      </c>
      <c r="H33" s="58">
        <f t="shared" si="3"/>
        <v>0</v>
      </c>
      <c r="I33" s="58">
        <f t="shared" si="4"/>
        <v>0</v>
      </c>
      <c r="J33" s="58">
        <f t="shared" si="5"/>
        <v>0</v>
      </c>
      <c r="K33" s="58">
        <f t="shared" si="6"/>
        <v>0</v>
      </c>
    </row>
    <row r="34" spans="1:11" ht="12.75">
      <c r="A34" s="147" t="s">
        <v>83</v>
      </c>
      <c r="B34" s="38">
        <v>0.21</v>
      </c>
      <c r="C34" s="151">
        <f t="shared" si="0"/>
        <v>1</v>
      </c>
      <c r="D34" s="38"/>
      <c r="E34" s="7"/>
      <c r="F34" s="58">
        <f t="shared" si="1"/>
        <v>0</v>
      </c>
      <c r="G34" s="58">
        <f t="shared" si="2"/>
        <v>0</v>
      </c>
      <c r="H34" s="58">
        <f t="shared" si="3"/>
        <v>0</v>
      </c>
      <c r="I34" s="58">
        <f t="shared" si="4"/>
        <v>0</v>
      </c>
      <c r="J34" s="58">
        <f t="shared" si="5"/>
        <v>0</v>
      </c>
      <c r="K34" s="58">
        <f t="shared" si="6"/>
        <v>0</v>
      </c>
    </row>
    <row r="35" spans="1:11" ht="12.75">
      <c r="A35" s="147" t="s">
        <v>318</v>
      </c>
      <c r="B35" s="38">
        <v>0.21</v>
      </c>
      <c r="C35" s="151">
        <f t="shared" si="0"/>
        <v>1</v>
      </c>
      <c r="D35" s="38"/>
      <c r="E35" s="7"/>
      <c r="F35" s="58">
        <f t="shared" si="1"/>
        <v>0</v>
      </c>
      <c r="G35" s="58">
        <f t="shared" si="2"/>
        <v>0</v>
      </c>
      <c r="H35" s="58">
        <f t="shared" si="3"/>
        <v>0</v>
      </c>
      <c r="I35" s="58">
        <f t="shared" si="4"/>
        <v>0</v>
      </c>
      <c r="J35" s="58">
        <f t="shared" si="5"/>
        <v>0</v>
      </c>
      <c r="K35" s="58">
        <f t="shared" si="6"/>
        <v>0</v>
      </c>
    </row>
    <row r="36" spans="1:11" ht="12.75">
      <c r="A36" s="147" t="s">
        <v>319</v>
      </c>
      <c r="B36" s="38">
        <v>0.21</v>
      </c>
      <c r="C36" s="151">
        <f t="shared" si="0"/>
        <v>0.8</v>
      </c>
      <c r="D36" s="38">
        <v>0.2</v>
      </c>
      <c r="E36" s="7"/>
      <c r="F36" s="58">
        <f t="shared" si="1"/>
        <v>0</v>
      </c>
      <c r="G36" s="58">
        <f t="shared" si="2"/>
        <v>0</v>
      </c>
      <c r="H36" s="58">
        <f t="shared" si="3"/>
        <v>0</v>
      </c>
      <c r="I36" s="58">
        <f t="shared" si="4"/>
        <v>0</v>
      </c>
      <c r="J36" s="58">
        <f t="shared" si="5"/>
        <v>0</v>
      </c>
      <c r="K36" s="58">
        <f t="shared" si="6"/>
        <v>0</v>
      </c>
    </row>
    <row r="37" spans="1:11" ht="12.75">
      <c r="A37" s="147" t="s">
        <v>84</v>
      </c>
      <c r="B37" s="38">
        <v>0.21</v>
      </c>
      <c r="C37" s="151">
        <f>1-D37</f>
        <v>0</v>
      </c>
      <c r="D37" s="38">
        <v>1</v>
      </c>
      <c r="E37" s="7"/>
      <c r="F37" s="58">
        <f t="shared" si="1"/>
        <v>0</v>
      </c>
      <c r="G37" s="58">
        <f t="shared" si="2"/>
        <v>0</v>
      </c>
      <c r="H37" s="58">
        <f t="shared" si="3"/>
        <v>0</v>
      </c>
      <c r="I37" s="58">
        <f t="shared" si="4"/>
        <v>0</v>
      </c>
      <c r="J37" s="58">
        <f t="shared" si="5"/>
        <v>0</v>
      </c>
      <c r="K37" s="58">
        <f t="shared" si="6"/>
        <v>0</v>
      </c>
    </row>
    <row r="38" spans="1:11" ht="15" customHeight="1" thickBot="1">
      <c r="A38" s="460" t="s">
        <v>34</v>
      </c>
      <c r="B38" s="461"/>
      <c r="C38" s="461"/>
      <c r="D38" s="461"/>
      <c r="E38" s="462"/>
      <c r="F38" s="59">
        <f aca="true" t="shared" si="7" ref="F38:K38">SUM(F13:F37)</f>
        <v>0</v>
      </c>
      <c r="G38" s="59">
        <f t="shared" si="7"/>
        <v>0</v>
      </c>
      <c r="H38" s="59">
        <f t="shared" si="7"/>
        <v>0</v>
      </c>
      <c r="I38" s="59">
        <f t="shared" si="7"/>
        <v>0</v>
      </c>
      <c r="J38" s="59">
        <f t="shared" si="7"/>
        <v>0</v>
      </c>
      <c r="K38" s="59">
        <f t="shared" si="7"/>
        <v>0</v>
      </c>
    </row>
    <row r="39" spans="1:11" ht="13.5" thickTop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3.5" thickBot="1">
      <c r="A41" s="435" t="s">
        <v>69</v>
      </c>
      <c r="B41" s="435"/>
      <c r="C41" s="435"/>
      <c r="D41" s="435"/>
      <c r="E41" s="435"/>
      <c r="F41" s="130">
        <f aca="true" t="shared" si="8" ref="F41:K41">(F13*$C$13)+(F14*$C$14)+(F15*$C$15)+(F16*$C$16)+(F17*$C$17)+(F18*$C$18)+(F19*$C$19)+(F20*$C$20)+(F21*$C$21)+(F22*$C$22)+(F23*$C$23)+(F24*$C$24)+(F25*$C$25)+(F26*$C$26)+(F27*$C$27)+(F28*$C$28)+(F29*$C$29)+(F30*$C$30)+(F31*$C$31)+(F32*$C$32)+(F33*$C$33)+(F34*$C$34)+(F35*$C$35)+(F36*$C$36)+(F37*$C$37)</f>
        <v>0</v>
      </c>
      <c r="G41" s="130">
        <f t="shared" si="8"/>
        <v>0</v>
      </c>
      <c r="H41" s="130">
        <f t="shared" si="8"/>
        <v>0</v>
      </c>
      <c r="I41" s="130">
        <f t="shared" si="8"/>
        <v>0</v>
      </c>
      <c r="J41" s="130">
        <f t="shared" si="8"/>
        <v>0</v>
      </c>
      <c r="K41" s="130">
        <f t="shared" si="8"/>
        <v>0</v>
      </c>
    </row>
    <row r="42" spans="1:11" ht="13.5" thickTop="1">
      <c r="A42" s="101"/>
      <c r="B42" s="101"/>
      <c r="C42" s="101"/>
      <c r="D42" s="101"/>
      <c r="E42" s="101"/>
      <c r="F42" s="148"/>
      <c r="G42" s="148"/>
      <c r="H42" s="148"/>
      <c r="I42" s="148"/>
      <c r="J42" s="148"/>
      <c r="K42" s="148"/>
    </row>
    <row r="43" spans="1:11" ht="13.5" thickBot="1">
      <c r="A43" s="435" t="s">
        <v>68</v>
      </c>
      <c r="B43" s="435"/>
      <c r="C43" s="435"/>
      <c r="D43" s="435"/>
      <c r="E43" s="435"/>
      <c r="F43" s="130">
        <f aca="true" t="shared" si="9" ref="F43:K43">(F13*$D$13)+(F14*$D$14)+(F15*$D$15)+(F16*$D$16)+(F17*$D$17)+(F18*$D$18)+(F19*$D$19)+(F20*$D$20)+(F21*$D$21)+(F22*$D$22)+(F23*$D$23)+(F24*$D$24)+(F25*$D$25)+(F26*$D$26)+(F27*$D$27)+(F28*$D$28)+(F29*$D$29)+(F30*$D$30)+(F31*$D$31)+(F32*$D$32)+(F33*$D$33)+(F34*$D$34)+(F35*$D$35)+(F36*$D$36)+(F37*$D$37)</f>
        <v>0</v>
      </c>
      <c r="G43" s="130">
        <f t="shared" si="9"/>
        <v>0</v>
      </c>
      <c r="H43" s="130">
        <f t="shared" si="9"/>
        <v>0</v>
      </c>
      <c r="I43" s="130">
        <f t="shared" si="9"/>
        <v>0</v>
      </c>
      <c r="J43" s="130">
        <f t="shared" si="9"/>
        <v>0</v>
      </c>
      <c r="K43" s="130">
        <f t="shared" si="9"/>
        <v>0</v>
      </c>
    </row>
    <row r="44" spans="1:11" ht="13.5" thickTop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3.5" thickBot="1">
      <c r="A45" s="435" t="s">
        <v>142</v>
      </c>
      <c r="B45" s="435"/>
      <c r="C45" s="435"/>
      <c r="D45" s="435"/>
      <c r="E45" s="435"/>
      <c r="F45" s="149">
        <f aca="true" t="shared" si="10" ref="F45:K45">+F41+F43</f>
        <v>0</v>
      </c>
      <c r="G45" s="149">
        <f t="shared" si="10"/>
        <v>0</v>
      </c>
      <c r="H45" s="149">
        <f t="shared" si="10"/>
        <v>0</v>
      </c>
      <c r="I45" s="149">
        <f t="shared" si="10"/>
        <v>0</v>
      </c>
      <c r="J45" s="149">
        <f t="shared" si="10"/>
        <v>0</v>
      </c>
      <c r="K45" s="149">
        <f t="shared" si="10"/>
        <v>0</v>
      </c>
    </row>
    <row r="46" spans="1:11" ht="13.5" thickTop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3.5" thickBot="1">
      <c r="A47" s="463" t="s">
        <v>119</v>
      </c>
      <c r="B47" s="463"/>
      <c r="C47" s="463"/>
      <c r="D47" s="463"/>
      <c r="E47" s="463"/>
      <c r="F47" s="130">
        <f aca="true" t="shared" si="11" ref="F47:K47">(F13*$B$13)+(F14*$B$14)+(F16*$B$16)+(F17*$B$17)+(F18*$B$18)+(F19*$B$19)+(F20*$B$20)+(F24*$B$24)+(F27*$B$27)+(F29*$B$29)+(F30*$B$30)+(F32*$B$32)+(F33*$B$33)+(F34*$B$34)+(F35*$B$35)+(F36*$B$36)+(F37*$B$37)</f>
        <v>0</v>
      </c>
      <c r="G47" s="130">
        <f t="shared" si="11"/>
        <v>0</v>
      </c>
      <c r="H47" s="130">
        <f t="shared" si="11"/>
        <v>0</v>
      </c>
      <c r="I47" s="130">
        <f t="shared" si="11"/>
        <v>0</v>
      </c>
      <c r="J47" s="130">
        <f t="shared" si="11"/>
        <v>0</v>
      </c>
      <c r="K47" s="130">
        <f t="shared" si="11"/>
        <v>0</v>
      </c>
    </row>
    <row r="48" spans="1:11" ht="13.5" thickTop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3.5" thickBot="1">
      <c r="A49" s="435" t="s">
        <v>117</v>
      </c>
      <c r="B49" s="435"/>
      <c r="C49" s="435"/>
      <c r="D49" s="435"/>
      <c r="E49" s="435"/>
      <c r="F49" s="149">
        <f aca="true" t="shared" si="12" ref="F49:K49">+F45+F47</f>
        <v>0</v>
      </c>
      <c r="G49" s="149">
        <f t="shared" si="12"/>
        <v>0</v>
      </c>
      <c r="H49" s="149">
        <f t="shared" si="12"/>
        <v>0</v>
      </c>
      <c r="I49" s="149">
        <f t="shared" si="12"/>
        <v>0</v>
      </c>
      <c r="J49" s="149">
        <f t="shared" si="12"/>
        <v>0</v>
      </c>
      <c r="K49" s="149">
        <f t="shared" si="12"/>
        <v>0</v>
      </c>
    </row>
    <row r="50" ht="13.5" thickTop="1"/>
  </sheetData>
  <sheetProtection password="8618" sheet="1" objects="1" scenarios="1"/>
  <mergeCells count="7">
    <mergeCell ref="A45:E45"/>
    <mergeCell ref="A49:E49"/>
    <mergeCell ref="A4:K4"/>
    <mergeCell ref="A38:E38"/>
    <mergeCell ref="A41:E41"/>
    <mergeCell ref="A43:E43"/>
    <mergeCell ref="A47:E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workbookViewId="0" topLeftCell="A40">
      <selection activeCell="I87" sqref="I87"/>
    </sheetView>
  </sheetViews>
  <sheetFormatPr defaultColWidth="9.140625" defaultRowHeight="12.75"/>
  <cols>
    <col min="1" max="1" width="25.28125" style="111" customWidth="1"/>
    <col min="2" max="2" width="5.28125" style="111" customWidth="1"/>
    <col min="3" max="3" width="12.57421875" style="111" customWidth="1"/>
    <col min="4" max="13" width="11.421875" style="111" customWidth="1"/>
    <col min="14" max="37" width="11.7109375" style="111" customWidth="1"/>
    <col min="38" max="16384" width="8.7109375" style="111" customWidth="1"/>
  </cols>
  <sheetData>
    <row r="1" spans="1:9" ht="12.75">
      <c r="A1" s="101"/>
      <c r="B1" s="101"/>
      <c r="C1" s="90"/>
      <c r="D1" s="90"/>
      <c r="E1" s="90"/>
      <c r="F1" s="90"/>
      <c r="G1" s="90"/>
      <c r="H1" s="137" t="str">
        <f>+VN!G1</f>
        <v>Empresa:</v>
      </c>
      <c r="I1" s="92" t="str">
        <f>+Pressupostos!E1</f>
        <v>XPTO, Lda</v>
      </c>
    </row>
    <row r="2" spans="1:9" ht="12.75">
      <c r="A2" s="152"/>
      <c r="B2" s="152"/>
      <c r="C2" s="90"/>
      <c r="D2" s="90"/>
      <c r="E2" s="90"/>
      <c r="F2" s="90"/>
      <c r="G2" s="90"/>
      <c r="H2" s="90"/>
      <c r="I2" s="95" t="str">
        <f>+Pressupostos!B9</f>
        <v>Euros</v>
      </c>
    </row>
    <row r="3" spans="1:9" ht="12.75">
      <c r="A3" s="152"/>
      <c r="B3" s="152"/>
      <c r="C3" s="90"/>
      <c r="D3" s="90"/>
      <c r="E3" s="90"/>
      <c r="F3" s="90"/>
      <c r="G3" s="90"/>
      <c r="H3" s="90"/>
      <c r="I3" s="95"/>
    </row>
    <row r="4" spans="1:9" ht="15.75">
      <c r="A4" s="458" t="s">
        <v>111</v>
      </c>
      <c r="B4" s="458"/>
      <c r="C4" s="458"/>
      <c r="D4" s="458"/>
      <c r="E4" s="458"/>
      <c r="F4" s="458"/>
      <c r="G4" s="458"/>
      <c r="H4" s="458"/>
      <c r="I4" s="458"/>
    </row>
    <row r="5" spans="1:9" ht="12.75">
      <c r="A5" s="96"/>
      <c r="B5" s="96"/>
      <c r="C5" s="96"/>
      <c r="D5" s="96"/>
      <c r="E5" s="96"/>
      <c r="F5" s="96"/>
      <c r="G5" s="96"/>
      <c r="H5" s="96"/>
      <c r="I5" s="96"/>
    </row>
    <row r="6" spans="1:9" ht="12.75">
      <c r="A6" s="99"/>
      <c r="B6" s="139"/>
      <c r="C6" s="139"/>
      <c r="D6" s="97">
        <f>+VN!C8</f>
        <v>2007</v>
      </c>
      <c r="E6" s="97">
        <f>+VN!D8</f>
        <v>2008</v>
      </c>
      <c r="F6" s="97">
        <f>+VN!E8</f>
        <v>2009</v>
      </c>
      <c r="G6" s="97">
        <f>+VN!F8</f>
        <v>2010</v>
      </c>
      <c r="H6" s="97">
        <f>+VN!G8</f>
        <v>2011</v>
      </c>
      <c r="I6" s="97">
        <f>+VN!H8</f>
        <v>2012</v>
      </c>
    </row>
    <row r="7" spans="1:9" ht="12.75">
      <c r="A7" s="141" t="s">
        <v>64</v>
      </c>
      <c r="B7" s="142"/>
      <c r="C7" s="143"/>
      <c r="D7" s="56">
        <v>14</v>
      </c>
      <c r="E7" s="193">
        <v>14</v>
      </c>
      <c r="F7" s="193">
        <v>14</v>
      </c>
      <c r="G7" s="193">
        <f>+F7</f>
        <v>14</v>
      </c>
      <c r="H7" s="193">
        <f>+G7</f>
        <v>14</v>
      </c>
      <c r="I7" s="193">
        <f>+H7</f>
        <v>14</v>
      </c>
    </row>
    <row r="8" spans="1:9" ht="12.75">
      <c r="A8" s="141" t="s">
        <v>307</v>
      </c>
      <c r="B8" s="142"/>
      <c r="C8" s="143"/>
      <c r="D8" s="145">
        <v>0</v>
      </c>
      <c r="E8" s="52">
        <v>0.03</v>
      </c>
      <c r="F8" s="52">
        <v>0.03</v>
      </c>
      <c r="G8" s="52">
        <v>0.03</v>
      </c>
      <c r="H8" s="52">
        <v>0.03</v>
      </c>
      <c r="I8" s="52">
        <v>0.03</v>
      </c>
    </row>
    <row r="9" spans="1:9" ht="12.75">
      <c r="A9" s="153"/>
      <c r="B9" s="153"/>
      <c r="C9" s="154"/>
      <c r="D9" s="101"/>
      <c r="E9" s="101"/>
      <c r="F9" s="101"/>
      <c r="G9" s="101"/>
      <c r="H9" s="101"/>
      <c r="I9" s="101"/>
    </row>
    <row r="10" spans="1:9" ht="12.75">
      <c r="A10" s="153"/>
      <c r="B10" s="153"/>
      <c r="C10" s="154"/>
      <c r="D10" s="101"/>
      <c r="E10" s="101"/>
      <c r="F10" s="101"/>
      <c r="G10" s="101"/>
      <c r="H10" s="101"/>
      <c r="I10" s="101"/>
    </row>
    <row r="11" spans="1:9" ht="12.75">
      <c r="A11" s="470" t="s">
        <v>373</v>
      </c>
      <c r="B11" s="471"/>
      <c r="C11" s="472"/>
      <c r="D11" s="97">
        <f aca="true" t="shared" si="0" ref="D11:I11">+D6</f>
        <v>2007</v>
      </c>
      <c r="E11" s="97">
        <f t="shared" si="0"/>
        <v>2008</v>
      </c>
      <c r="F11" s="97">
        <f t="shared" si="0"/>
        <v>2009</v>
      </c>
      <c r="G11" s="97">
        <f t="shared" si="0"/>
        <v>2010</v>
      </c>
      <c r="H11" s="97">
        <f t="shared" si="0"/>
        <v>2011</v>
      </c>
      <c r="I11" s="97">
        <f t="shared" si="0"/>
        <v>2012</v>
      </c>
    </row>
    <row r="12" spans="1:9" ht="12.75">
      <c r="A12" s="155" t="s">
        <v>374</v>
      </c>
      <c r="B12" s="142"/>
      <c r="C12" s="143"/>
      <c r="D12" s="62"/>
      <c r="E12" s="62"/>
      <c r="F12" s="62"/>
      <c r="G12" s="62"/>
      <c r="H12" s="62"/>
      <c r="I12" s="62"/>
    </row>
    <row r="13" spans="1:9" ht="12.75">
      <c r="A13" s="65" t="s">
        <v>375</v>
      </c>
      <c r="B13" s="156"/>
      <c r="C13" s="157"/>
      <c r="D13" s="62"/>
      <c r="E13" s="62"/>
      <c r="F13" s="62"/>
      <c r="G13" s="62"/>
      <c r="H13" s="62"/>
      <c r="I13" s="62"/>
    </row>
    <row r="14" spans="1:9" ht="12.75">
      <c r="A14" s="65" t="s">
        <v>376</v>
      </c>
      <c r="B14" s="156"/>
      <c r="C14" s="157"/>
      <c r="D14" s="62"/>
      <c r="E14" s="62"/>
      <c r="F14" s="62"/>
      <c r="G14" s="62"/>
      <c r="H14" s="62"/>
      <c r="I14" s="62"/>
    </row>
    <row r="15" spans="1:9" ht="12.75">
      <c r="A15" s="65" t="s">
        <v>377</v>
      </c>
      <c r="B15" s="156"/>
      <c r="C15" s="157"/>
      <c r="D15" s="62"/>
      <c r="E15" s="62"/>
      <c r="F15" s="62"/>
      <c r="G15" s="62"/>
      <c r="H15" s="62"/>
      <c r="I15" s="62"/>
    </row>
    <row r="16" spans="1:9" ht="12.75">
      <c r="A16" s="65" t="s">
        <v>378</v>
      </c>
      <c r="B16" s="156"/>
      <c r="C16" s="157"/>
      <c r="D16" s="62"/>
      <c r="E16" s="62"/>
      <c r="F16" s="62"/>
      <c r="G16" s="62"/>
      <c r="H16" s="62"/>
      <c r="I16" s="62"/>
    </row>
    <row r="17" spans="1:9" ht="12.75">
      <c r="A17" s="65" t="s">
        <v>379</v>
      </c>
      <c r="B17" s="156"/>
      <c r="C17" s="157"/>
      <c r="D17" s="62"/>
      <c r="E17" s="62"/>
      <c r="F17" s="62"/>
      <c r="G17" s="62"/>
      <c r="H17" s="62"/>
      <c r="I17" s="62"/>
    </row>
    <row r="18" spans="1:9" ht="12.75">
      <c r="A18" s="65" t="s">
        <v>380</v>
      </c>
      <c r="B18" s="156"/>
      <c r="C18" s="157"/>
      <c r="D18" s="62"/>
      <c r="E18" s="62"/>
      <c r="F18" s="62"/>
      <c r="G18" s="62"/>
      <c r="H18" s="62"/>
      <c r="I18" s="62"/>
    </row>
    <row r="19" spans="1:9" ht="12.75">
      <c r="A19" s="65" t="s">
        <v>381</v>
      </c>
      <c r="B19" s="156"/>
      <c r="C19" s="157"/>
      <c r="D19" s="62"/>
      <c r="E19" s="62"/>
      <c r="F19" s="62"/>
      <c r="G19" s="62"/>
      <c r="H19" s="62"/>
      <c r="I19" s="62"/>
    </row>
    <row r="20" spans="1:9" ht="12.75">
      <c r="A20" s="65" t="s">
        <v>382</v>
      </c>
      <c r="B20" s="156"/>
      <c r="C20" s="157"/>
      <c r="D20" s="62"/>
      <c r="E20" s="62"/>
      <c r="F20" s="62"/>
      <c r="G20" s="62"/>
      <c r="H20" s="62"/>
      <c r="I20" s="62"/>
    </row>
    <row r="21" spans="1:9" ht="12.75">
      <c r="A21" s="66"/>
      <c r="B21" s="158"/>
      <c r="C21" s="159"/>
      <c r="D21" s="60"/>
      <c r="E21" s="60"/>
      <c r="F21" s="60"/>
      <c r="G21" s="60"/>
      <c r="H21" s="60"/>
      <c r="I21" s="60"/>
    </row>
    <row r="22" spans="1:9" ht="12.75">
      <c r="A22" s="66"/>
      <c r="B22" s="158"/>
      <c r="C22" s="159"/>
      <c r="D22" s="60"/>
      <c r="E22" s="60"/>
      <c r="F22" s="60"/>
      <c r="G22" s="60"/>
      <c r="H22" s="60"/>
      <c r="I22" s="60"/>
    </row>
    <row r="23" spans="1:9" ht="13.5" thickBot="1">
      <c r="A23" s="460" t="s">
        <v>87</v>
      </c>
      <c r="B23" s="461"/>
      <c r="C23" s="462"/>
      <c r="D23" s="160">
        <f aca="true" t="shared" si="1" ref="D23:I23">+SUM(D12:D22)</f>
        <v>0</v>
      </c>
      <c r="E23" s="160">
        <f t="shared" si="1"/>
        <v>0</v>
      </c>
      <c r="F23" s="160">
        <f t="shared" si="1"/>
        <v>0</v>
      </c>
      <c r="G23" s="160">
        <f t="shared" si="1"/>
        <v>0</v>
      </c>
      <c r="H23" s="160">
        <f t="shared" si="1"/>
        <v>0</v>
      </c>
      <c r="I23" s="160">
        <f t="shared" si="1"/>
        <v>0</v>
      </c>
    </row>
    <row r="24" spans="1:9" ht="13.5" thickTop="1">
      <c r="A24" s="153"/>
      <c r="B24" s="153"/>
      <c r="C24" s="154"/>
      <c r="D24" s="101"/>
      <c r="E24" s="101"/>
      <c r="F24" s="101"/>
      <c r="G24" s="101"/>
      <c r="H24" s="101"/>
      <c r="I24" s="101"/>
    </row>
    <row r="25" spans="1:9" ht="12.75">
      <c r="A25" s="153"/>
      <c r="B25" s="153"/>
      <c r="C25" s="154"/>
      <c r="D25" s="101"/>
      <c r="E25" s="101"/>
      <c r="F25" s="101"/>
      <c r="G25" s="101"/>
      <c r="H25" s="101"/>
      <c r="I25" s="101"/>
    </row>
    <row r="26" spans="1:9" ht="12.75">
      <c r="A26" s="470" t="s">
        <v>383</v>
      </c>
      <c r="B26" s="471"/>
      <c r="C26" s="472"/>
      <c r="D26" s="97">
        <f aca="true" t="shared" si="2" ref="D26:I26">+D11</f>
        <v>2007</v>
      </c>
      <c r="E26" s="97">
        <f t="shared" si="2"/>
        <v>2008</v>
      </c>
      <c r="F26" s="97">
        <f t="shared" si="2"/>
        <v>2009</v>
      </c>
      <c r="G26" s="97">
        <f t="shared" si="2"/>
        <v>2010</v>
      </c>
      <c r="H26" s="97">
        <f t="shared" si="2"/>
        <v>2011</v>
      </c>
      <c r="I26" s="97">
        <f t="shared" si="2"/>
        <v>2012</v>
      </c>
    </row>
    <row r="27" spans="1:9" ht="12.75">
      <c r="A27" s="155" t="str">
        <f>+A12</f>
        <v>Administração / Direcção</v>
      </c>
      <c r="B27" s="142"/>
      <c r="C27" s="143"/>
      <c r="D27" s="63"/>
      <c r="E27" s="161">
        <f>+ROUND(D27*(1+$E$8),2)</f>
        <v>0</v>
      </c>
      <c r="F27" s="161">
        <f>+ROUND(E27*(1+F8),2)</f>
        <v>0</v>
      </c>
      <c r="G27" s="161">
        <f>+ROUND(F27*(1+G8),2)</f>
        <v>0</v>
      </c>
      <c r="H27" s="161">
        <f>+ROUND(G27*(1+H8),2)</f>
        <v>0</v>
      </c>
      <c r="I27" s="161">
        <f>+ROUND(H27*(1+I8),2)</f>
        <v>0</v>
      </c>
    </row>
    <row r="28" spans="1:9" ht="12.75">
      <c r="A28" s="155" t="str">
        <f aca="true" t="shared" si="3" ref="A28:A37">+A13</f>
        <v>Administrativa Financeira</v>
      </c>
      <c r="B28" s="142"/>
      <c r="C28" s="143"/>
      <c r="D28" s="63"/>
      <c r="E28" s="161">
        <f>+ROUND(D28*(1+E8),2)</f>
        <v>0</v>
      </c>
      <c r="F28" s="161">
        <f>+ROUND(E28*(1+F8),2)</f>
        <v>0</v>
      </c>
      <c r="G28" s="161">
        <f>+ROUND(F28*(1+G8),2)</f>
        <v>0</v>
      </c>
      <c r="H28" s="161">
        <f>+ROUND(G28*(1+H8),2)</f>
        <v>0</v>
      </c>
      <c r="I28" s="161">
        <f>+ROUND(H28*(1+I8),2)</f>
        <v>0</v>
      </c>
    </row>
    <row r="29" spans="1:9" ht="12.75">
      <c r="A29" s="155" t="str">
        <f t="shared" si="3"/>
        <v>Comercial / Marketing</v>
      </c>
      <c r="B29" s="142"/>
      <c r="C29" s="143"/>
      <c r="D29" s="63"/>
      <c r="E29" s="161">
        <f>+ROUND(D29*(1+E8),2)</f>
        <v>0</v>
      </c>
      <c r="F29" s="161">
        <f>+ROUND(E29*(1+F8),2)</f>
        <v>0</v>
      </c>
      <c r="G29" s="161">
        <f>+ROUND(F29*(1+G8),2)</f>
        <v>0</v>
      </c>
      <c r="H29" s="161">
        <f>+ROUND(G29*(1+H8),2)</f>
        <v>0</v>
      </c>
      <c r="I29" s="161">
        <f>+ROUND(H29*(1+I8),2)</f>
        <v>0</v>
      </c>
    </row>
    <row r="30" spans="1:9" ht="12.75">
      <c r="A30" s="155" t="str">
        <f t="shared" si="3"/>
        <v>Produção / Operacional</v>
      </c>
      <c r="B30" s="142"/>
      <c r="C30" s="143"/>
      <c r="D30" s="63"/>
      <c r="E30" s="161">
        <f>+ROUND(D30*(1+E8),2)</f>
        <v>0</v>
      </c>
      <c r="F30" s="161">
        <f>+ROUND(E30*(1+F8),2)</f>
        <v>0</v>
      </c>
      <c r="G30" s="161">
        <f>+ROUND(F30*(1+G8),2)</f>
        <v>0</v>
      </c>
      <c r="H30" s="161">
        <f>+ROUND(G30*(1+H8),2)</f>
        <v>0</v>
      </c>
      <c r="I30" s="161">
        <f>+ROUND(H30*(1+I8),2)</f>
        <v>0</v>
      </c>
    </row>
    <row r="31" spans="1:9" ht="12.75">
      <c r="A31" s="155" t="str">
        <f t="shared" si="3"/>
        <v>Qualidade</v>
      </c>
      <c r="B31" s="142"/>
      <c r="C31" s="143"/>
      <c r="D31" s="63"/>
      <c r="E31" s="161">
        <f>+ROUND(D31*(1+E8),2)</f>
        <v>0</v>
      </c>
      <c r="F31" s="161">
        <f>+ROUND(E31*(1+F8),2)</f>
        <v>0</v>
      </c>
      <c r="G31" s="161">
        <f>+ROUND(F31*(1+G8),2)</f>
        <v>0</v>
      </c>
      <c r="H31" s="161">
        <f>+ROUND(G31*(1+H8),2)</f>
        <v>0</v>
      </c>
      <c r="I31" s="161">
        <f>+ROUND(H31*(1+I8),2)</f>
        <v>0</v>
      </c>
    </row>
    <row r="32" spans="1:9" ht="12.75">
      <c r="A32" s="155" t="str">
        <f t="shared" si="3"/>
        <v>Manutenção</v>
      </c>
      <c r="B32" s="142"/>
      <c r="C32" s="143"/>
      <c r="D32" s="63"/>
      <c r="E32" s="161">
        <f>+ROUND(D32*(1+E8),2)</f>
        <v>0</v>
      </c>
      <c r="F32" s="161">
        <f>+ROUND(E32*(1+F8),2)</f>
        <v>0</v>
      </c>
      <c r="G32" s="161">
        <f>+ROUND(F32*(1+G8),2)</f>
        <v>0</v>
      </c>
      <c r="H32" s="161">
        <f>+ROUND(G32*(1+H8),2)</f>
        <v>0</v>
      </c>
      <c r="I32" s="161">
        <f>+ROUND(H32*(1+I8),2)</f>
        <v>0</v>
      </c>
    </row>
    <row r="33" spans="1:9" ht="12.75">
      <c r="A33" s="155" t="str">
        <f t="shared" si="3"/>
        <v>Aprovisionamento</v>
      </c>
      <c r="B33" s="142"/>
      <c r="C33" s="143"/>
      <c r="D33" s="63"/>
      <c r="E33" s="161">
        <f>+ROUND(D33*(1+E8),2)</f>
        <v>0</v>
      </c>
      <c r="F33" s="161">
        <f>+ROUND(E33*(1+F8),2)</f>
        <v>0</v>
      </c>
      <c r="G33" s="161">
        <f>+ROUND(F33*(1+G8),2)</f>
        <v>0</v>
      </c>
      <c r="H33" s="161">
        <f>+ROUND(G33*(1+H8),2)</f>
        <v>0</v>
      </c>
      <c r="I33" s="161">
        <f>+ROUND(H33*(1+I8),2)</f>
        <v>0</v>
      </c>
    </row>
    <row r="34" spans="1:9" ht="12.75">
      <c r="A34" s="155" t="str">
        <f t="shared" si="3"/>
        <v>Investigação &amp; Desenvolvimento</v>
      </c>
      <c r="B34" s="142"/>
      <c r="C34" s="143"/>
      <c r="D34" s="63"/>
      <c r="E34" s="161">
        <f>+ROUND(D34*(1+E8),2)</f>
        <v>0</v>
      </c>
      <c r="F34" s="161">
        <f>+ROUND(E34*(1+F8),2)</f>
        <v>0</v>
      </c>
      <c r="G34" s="161">
        <f>+ROUND(F34*(1+G8),2)</f>
        <v>0</v>
      </c>
      <c r="H34" s="161">
        <f>+ROUND(G34*(1+H8),2)</f>
        <v>0</v>
      </c>
      <c r="I34" s="161">
        <f>+ROUND(H34*(1+I8),2)</f>
        <v>0</v>
      </c>
    </row>
    <row r="35" spans="1:9" ht="12.75">
      <c r="A35" s="155" t="str">
        <f t="shared" si="3"/>
        <v>Outros</v>
      </c>
      <c r="B35" s="142"/>
      <c r="C35" s="143"/>
      <c r="D35" s="63"/>
      <c r="E35" s="161">
        <f>+ROUND(D35*(1+E8),2)</f>
        <v>0</v>
      </c>
      <c r="F35" s="161">
        <f>+ROUND(E35*(1+F8),2)</f>
        <v>0</v>
      </c>
      <c r="G35" s="161">
        <f>+ROUND(F35*(1+G8),2)</f>
        <v>0</v>
      </c>
      <c r="H35" s="161">
        <f>+ROUND(G35*(1+H8),2)</f>
        <v>0</v>
      </c>
      <c r="I35" s="161">
        <f>+ROUND(H35*(1+I8),2)</f>
        <v>0</v>
      </c>
    </row>
    <row r="36" spans="1:9" ht="12.75">
      <c r="A36" s="155">
        <f t="shared" si="3"/>
        <v>0</v>
      </c>
      <c r="B36" s="162"/>
      <c r="C36" s="163"/>
      <c r="D36" s="64"/>
      <c r="E36" s="161">
        <f>+ROUND(D36*(1+E8),2)</f>
        <v>0</v>
      </c>
      <c r="F36" s="161">
        <f>+ROUND(E36*(1+F8),2)</f>
        <v>0</v>
      </c>
      <c r="G36" s="161">
        <f>+ROUND(F36*(1+G8),2)</f>
        <v>0</v>
      </c>
      <c r="H36" s="161">
        <f>+ROUND(G36*(1+H8),2)</f>
        <v>0</v>
      </c>
      <c r="I36" s="161">
        <f>+ROUND(H36*(1+I8),2)</f>
        <v>0</v>
      </c>
    </row>
    <row r="37" spans="1:9" ht="12.75">
      <c r="A37" s="155">
        <f t="shared" si="3"/>
        <v>0</v>
      </c>
      <c r="B37" s="162"/>
      <c r="C37" s="163"/>
      <c r="D37" s="63"/>
      <c r="E37" s="161">
        <f>+ROUND(D37*(1+E8),2)</f>
        <v>0</v>
      </c>
      <c r="F37" s="161">
        <f>+ROUND(E37*(1+F8),2)</f>
        <v>0</v>
      </c>
      <c r="G37" s="161">
        <f>+ROUND(F37*(1+G8),2)</f>
        <v>0</v>
      </c>
      <c r="H37" s="161">
        <f>+ROUND(G37*(1+H8),2)</f>
        <v>0</v>
      </c>
      <c r="I37" s="161">
        <f>+ROUND(H37*(1+I8),2)</f>
        <v>0</v>
      </c>
    </row>
    <row r="38" spans="1:9" ht="12.75">
      <c r="A38" s="164"/>
      <c r="B38" s="165"/>
      <c r="C38" s="166"/>
      <c r="D38" s="167"/>
      <c r="E38" s="167"/>
      <c r="F38" s="167"/>
      <c r="G38" s="167"/>
      <c r="H38" s="167"/>
      <c r="I38" s="167"/>
    </row>
    <row r="39" spans="1:9" ht="12.75">
      <c r="A39" s="164"/>
      <c r="B39" s="165"/>
      <c r="C39" s="166"/>
      <c r="D39" s="167"/>
      <c r="E39" s="167"/>
      <c r="F39" s="167"/>
      <c r="G39" s="167"/>
      <c r="H39" s="167"/>
      <c r="I39" s="167"/>
    </row>
    <row r="40" spans="1:9" ht="12.75">
      <c r="A40" s="470" t="s">
        <v>384</v>
      </c>
      <c r="B40" s="471"/>
      <c r="C40" s="472"/>
      <c r="D40" s="97">
        <f aca="true" t="shared" si="4" ref="D40:I40">+D26</f>
        <v>2007</v>
      </c>
      <c r="E40" s="97">
        <f t="shared" si="4"/>
        <v>2008</v>
      </c>
      <c r="F40" s="97">
        <f t="shared" si="4"/>
        <v>2009</v>
      </c>
      <c r="G40" s="97">
        <f t="shared" si="4"/>
        <v>2010</v>
      </c>
      <c r="H40" s="97">
        <f t="shared" si="4"/>
        <v>2011</v>
      </c>
      <c r="I40" s="97">
        <f t="shared" si="4"/>
        <v>2012</v>
      </c>
    </row>
    <row r="41" spans="1:9" ht="12.75">
      <c r="A41" s="155" t="str">
        <f>+A27</f>
        <v>Administração / Direcção</v>
      </c>
      <c r="B41" s="142"/>
      <c r="C41" s="143"/>
      <c r="D41" s="168">
        <f aca="true" t="shared" si="5" ref="D41:I41">+D12*D27*D7</f>
        <v>0</v>
      </c>
      <c r="E41" s="168">
        <f t="shared" si="5"/>
        <v>0</v>
      </c>
      <c r="F41" s="168">
        <f t="shared" si="5"/>
        <v>0</v>
      </c>
      <c r="G41" s="168">
        <f t="shared" si="5"/>
        <v>0</v>
      </c>
      <c r="H41" s="168">
        <f t="shared" si="5"/>
        <v>0</v>
      </c>
      <c r="I41" s="168">
        <f t="shared" si="5"/>
        <v>0</v>
      </c>
    </row>
    <row r="42" spans="1:9" ht="12.75">
      <c r="A42" s="155" t="str">
        <f aca="true" t="shared" si="6" ref="A42:A51">+A28</f>
        <v>Administrativa Financeira</v>
      </c>
      <c r="B42" s="142"/>
      <c r="C42" s="143"/>
      <c r="D42" s="168">
        <f aca="true" t="shared" si="7" ref="D42:I42">+D13*D28*D7</f>
        <v>0</v>
      </c>
      <c r="E42" s="168">
        <f t="shared" si="7"/>
        <v>0</v>
      </c>
      <c r="F42" s="168">
        <f t="shared" si="7"/>
        <v>0</v>
      </c>
      <c r="G42" s="168">
        <f t="shared" si="7"/>
        <v>0</v>
      </c>
      <c r="H42" s="168">
        <f t="shared" si="7"/>
        <v>0</v>
      </c>
      <c r="I42" s="168">
        <f t="shared" si="7"/>
        <v>0</v>
      </c>
    </row>
    <row r="43" spans="1:9" ht="12.75">
      <c r="A43" s="155" t="str">
        <f t="shared" si="6"/>
        <v>Comercial / Marketing</v>
      </c>
      <c r="B43" s="142"/>
      <c r="C43" s="143"/>
      <c r="D43" s="168">
        <f aca="true" t="shared" si="8" ref="D43:I43">+D14*D29*D7</f>
        <v>0</v>
      </c>
      <c r="E43" s="168">
        <f t="shared" si="8"/>
        <v>0</v>
      </c>
      <c r="F43" s="168">
        <f t="shared" si="8"/>
        <v>0</v>
      </c>
      <c r="G43" s="168">
        <f t="shared" si="8"/>
        <v>0</v>
      </c>
      <c r="H43" s="168">
        <f t="shared" si="8"/>
        <v>0</v>
      </c>
      <c r="I43" s="168">
        <f t="shared" si="8"/>
        <v>0</v>
      </c>
    </row>
    <row r="44" spans="1:9" ht="12.75">
      <c r="A44" s="155" t="str">
        <f t="shared" si="6"/>
        <v>Produção / Operacional</v>
      </c>
      <c r="B44" s="142"/>
      <c r="C44" s="143"/>
      <c r="D44" s="168">
        <f aca="true" t="shared" si="9" ref="D44:I44">+D15*D30*D7</f>
        <v>0</v>
      </c>
      <c r="E44" s="168">
        <f t="shared" si="9"/>
        <v>0</v>
      </c>
      <c r="F44" s="168">
        <f t="shared" si="9"/>
        <v>0</v>
      </c>
      <c r="G44" s="168">
        <f t="shared" si="9"/>
        <v>0</v>
      </c>
      <c r="H44" s="168">
        <f t="shared" si="9"/>
        <v>0</v>
      </c>
      <c r="I44" s="168">
        <f t="shared" si="9"/>
        <v>0</v>
      </c>
    </row>
    <row r="45" spans="1:9" ht="12.75">
      <c r="A45" s="155" t="str">
        <f t="shared" si="6"/>
        <v>Qualidade</v>
      </c>
      <c r="B45" s="142"/>
      <c r="C45" s="143"/>
      <c r="D45" s="168">
        <f aca="true" t="shared" si="10" ref="D45:I45">+D16*D31*D7</f>
        <v>0</v>
      </c>
      <c r="E45" s="168">
        <f t="shared" si="10"/>
        <v>0</v>
      </c>
      <c r="F45" s="168">
        <f t="shared" si="10"/>
        <v>0</v>
      </c>
      <c r="G45" s="168">
        <f t="shared" si="10"/>
        <v>0</v>
      </c>
      <c r="H45" s="168">
        <f t="shared" si="10"/>
        <v>0</v>
      </c>
      <c r="I45" s="168">
        <f t="shared" si="10"/>
        <v>0</v>
      </c>
    </row>
    <row r="46" spans="1:9" ht="12.75">
      <c r="A46" s="155" t="str">
        <f t="shared" si="6"/>
        <v>Manutenção</v>
      </c>
      <c r="B46" s="142"/>
      <c r="C46" s="143"/>
      <c r="D46" s="168">
        <f aca="true" t="shared" si="11" ref="D46:I46">+D17*D32*D7</f>
        <v>0</v>
      </c>
      <c r="E46" s="168">
        <f t="shared" si="11"/>
        <v>0</v>
      </c>
      <c r="F46" s="168">
        <f t="shared" si="11"/>
        <v>0</v>
      </c>
      <c r="G46" s="168">
        <f t="shared" si="11"/>
        <v>0</v>
      </c>
      <c r="H46" s="168">
        <f t="shared" si="11"/>
        <v>0</v>
      </c>
      <c r="I46" s="168">
        <f t="shared" si="11"/>
        <v>0</v>
      </c>
    </row>
    <row r="47" spans="1:9" ht="12.75">
      <c r="A47" s="155" t="str">
        <f t="shared" si="6"/>
        <v>Aprovisionamento</v>
      </c>
      <c r="B47" s="142"/>
      <c r="C47" s="143"/>
      <c r="D47" s="168">
        <f aca="true" t="shared" si="12" ref="D47:I47">+D18*D33*D7</f>
        <v>0</v>
      </c>
      <c r="E47" s="168">
        <f t="shared" si="12"/>
        <v>0</v>
      </c>
      <c r="F47" s="168">
        <f t="shared" si="12"/>
        <v>0</v>
      </c>
      <c r="G47" s="168">
        <f t="shared" si="12"/>
        <v>0</v>
      </c>
      <c r="H47" s="168">
        <f t="shared" si="12"/>
        <v>0</v>
      </c>
      <c r="I47" s="168">
        <f t="shared" si="12"/>
        <v>0</v>
      </c>
    </row>
    <row r="48" spans="1:9" ht="12.75">
      <c r="A48" s="155" t="str">
        <f t="shared" si="6"/>
        <v>Investigação &amp; Desenvolvimento</v>
      </c>
      <c r="B48" s="142"/>
      <c r="C48" s="143"/>
      <c r="D48" s="168">
        <f aca="true" t="shared" si="13" ref="D48:I48">+D19*D34*D7</f>
        <v>0</v>
      </c>
      <c r="E48" s="168">
        <f t="shared" si="13"/>
        <v>0</v>
      </c>
      <c r="F48" s="168">
        <f t="shared" si="13"/>
        <v>0</v>
      </c>
      <c r="G48" s="168">
        <f t="shared" si="13"/>
        <v>0</v>
      </c>
      <c r="H48" s="168">
        <f t="shared" si="13"/>
        <v>0</v>
      </c>
      <c r="I48" s="168">
        <f t="shared" si="13"/>
        <v>0</v>
      </c>
    </row>
    <row r="49" spans="1:9" ht="12.75">
      <c r="A49" s="155" t="str">
        <f t="shared" si="6"/>
        <v>Outros</v>
      </c>
      <c r="B49" s="142"/>
      <c r="C49" s="143"/>
      <c r="D49" s="168">
        <f aca="true" t="shared" si="14" ref="D49:I49">+D20*D35*D7</f>
        <v>0</v>
      </c>
      <c r="E49" s="168">
        <f t="shared" si="14"/>
        <v>0</v>
      </c>
      <c r="F49" s="168">
        <f t="shared" si="14"/>
        <v>0</v>
      </c>
      <c r="G49" s="168">
        <f t="shared" si="14"/>
        <v>0</v>
      </c>
      <c r="H49" s="168">
        <f t="shared" si="14"/>
        <v>0</v>
      </c>
      <c r="I49" s="168">
        <f t="shared" si="14"/>
        <v>0</v>
      </c>
    </row>
    <row r="50" spans="1:9" ht="12.75">
      <c r="A50" s="155">
        <f t="shared" si="6"/>
        <v>0</v>
      </c>
      <c r="B50" s="162"/>
      <c r="C50" s="163"/>
      <c r="D50" s="168">
        <f aca="true" t="shared" si="15" ref="D50:I50">+D21*D36*D7</f>
        <v>0</v>
      </c>
      <c r="E50" s="168">
        <f t="shared" si="15"/>
        <v>0</v>
      </c>
      <c r="F50" s="168">
        <f t="shared" si="15"/>
        <v>0</v>
      </c>
      <c r="G50" s="168">
        <f t="shared" si="15"/>
        <v>0</v>
      </c>
      <c r="H50" s="168">
        <f t="shared" si="15"/>
        <v>0</v>
      </c>
      <c r="I50" s="168">
        <f t="shared" si="15"/>
        <v>0</v>
      </c>
    </row>
    <row r="51" spans="1:9" ht="12.75">
      <c r="A51" s="155">
        <f t="shared" si="6"/>
        <v>0</v>
      </c>
      <c r="B51" s="162"/>
      <c r="C51" s="163"/>
      <c r="D51" s="168">
        <f aca="true" t="shared" si="16" ref="D51:I51">+D22*D37*D7</f>
        <v>0</v>
      </c>
      <c r="E51" s="168">
        <f t="shared" si="16"/>
        <v>0</v>
      </c>
      <c r="F51" s="168">
        <f t="shared" si="16"/>
        <v>0</v>
      </c>
      <c r="G51" s="168">
        <f t="shared" si="16"/>
        <v>0</v>
      </c>
      <c r="H51" s="168">
        <f t="shared" si="16"/>
        <v>0</v>
      </c>
      <c r="I51" s="168">
        <f t="shared" si="16"/>
        <v>0</v>
      </c>
    </row>
    <row r="52" spans="1:9" ht="13.5" thickBot="1">
      <c r="A52" s="460" t="s">
        <v>87</v>
      </c>
      <c r="B52" s="461"/>
      <c r="C52" s="462"/>
      <c r="D52" s="169">
        <f aca="true" t="shared" si="17" ref="D52:I52">+SUM(D41:D51)</f>
        <v>0</v>
      </c>
      <c r="E52" s="169">
        <f t="shared" si="17"/>
        <v>0</v>
      </c>
      <c r="F52" s="169">
        <f t="shared" si="17"/>
        <v>0</v>
      </c>
      <c r="G52" s="169">
        <f t="shared" si="17"/>
        <v>0</v>
      </c>
      <c r="H52" s="169">
        <f t="shared" si="17"/>
        <v>0</v>
      </c>
      <c r="I52" s="169">
        <f t="shared" si="17"/>
        <v>0</v>
      </c>
    </row>
    <row r="53" spans="1:9" ht="13.5" thickTop="1">
      <c r="A53" s="164"/>
      <c r="B53" s="165"/>
      <c r="C53" s="166"/>
      <c r="D53" s="167"/>
      <c r="E53" s="167"/>
      <c r="F53" s="167"/>
      <c r="G53" s="167"/>
      <c r="H53" s="167"/>
      <c r="I53" s="167"/>
    </row>
    <row r="54" spans="1:9" ht="12.75">
      <c r="A54" s="101"/>
      <c r="B54" s="101"/>
      <c r="C54" s="170"/>
      <c r="D54" s="171"/>
      <c r="E54" s="171"/>
      <c r="F54" s="171"/>
      <c r="G54" s="171"/>
      <c r="H54" s="171"/>
      <c r="I54" s="171"/>
    </row>
    <row r="55" spans="1:9" ht="12.75">
      <c r="A55" s="467" t="s">
        <v>152</v>
      </c>
      <c r="B55" s="468"/>
      <c r="C55" s="469"/>
      <c r="D55" s="97">
        <f aca="true" t="shared" si="18" ref="D55:I55">+D6</f>
        <v>2007</v>
      </c>
      <c r="E55" s="97">
        <f t="shared" si="18"/>
        <v>2008</v>
      </c>
      <c r="F55" s="97">
        <f t="shared" si="18"/>
        <v>2009</v>
      </c>
      <c r="G55" s="97">
        <f t="shared" si="18"/>
        <v>2010</v>
      </c>
      <c r="H55" s="97">
        <f t="shared" si="18"/>
        <v>2011</v>
      </c>
      <c r="I55" s="97">
        <f t="shared" si="18"/>
        <v>2012</v>
      </c>
    </row>
    <row r="56" spans="1:9" ht="12.75">
      <c r="A56" s="172" t="s">
        <v>155</v>
      </c>
      <c r="B56" s="173"/>
      <c r="C56" s="122"/>
      <c r="D56" s="122"/>
      <c r="E56" s="122"/>
      <c r="F56" s="122"/>
      <c r="G56" s="122"/>
      <c r="H56" s="122"/>
      <c r="I56" s="122"/>
    </row>
    <row r="57" spans="1:9" ht="12.75">
      <c r="A57" s="102" t="s">
        <v>320</v>
      </c>
      <c r="B57" s="174"/>
      <c r="C57" s="175">
        <v>0.2125</v>
      </c>
      <c r="D57" s="176">
        <f aca="true" t="shared" si="19" ref="D57:I57">$C$57*D41</f>
        <v>0</v>
      </c>
      <c r="E57" s="176">
        <f t="shared" si="19"/>
        <v>0</v>
      </c>
      <c r="F57" s="176">
        <f t="shared" si="19"/>
        <v>0</v>
      </c>
      <c r="G57" s="176">
        <f t="shared" si="19"/>
        <v>0</v>
      </c>
      <c r="H57" s="176">
        <f t="shared" si="19"/>
        <v>0</v>
      </c>
      <c r="I57" s="176">
        <f t="shared" si="19"/>
        <v>0</v>
      </c>
    </row>
    <row r="58" spans="1:9" ht="12.75">
      <c r="A58" s="102" t="s">
        <v>255</v>
      </c>
      <c r="B58" s="174"/>
      <c r="C58" s="175">
        <v>0.2375</v>
      </c>
      <c r="D58" s="176">
        <f aca="true" t="shared" si="20" ref="D58:I58">+$C$58*(SUM(D42:D51)+D61)</f>
        <v>0</v>
      </c>
      <c r="E58" s="176">
        <f t="shared" si="20"/>
        <v>0</v>
      </c>
      <c r="F58" s="176">
        <f t="shared" si="20"/>
        <v>0</v>
      </c>
      <c r="G58" s="176">
        <f t="shared" si="20"/>
        <v>0</v>
      </c>
      <c r="H58" s="176">
        <f t="shared" si="20"/>
        <v>0</v>
      </c>
      <c r="I58" s="176">
        <f t="shared" si="20"/>
        <v>0</v>
      </c>
    </row>
    <row r="59" spans="1:9" ht="12.75">
      <c r="A59" s="177" t="s">
        <v>37</v>
      </c>
      <c r="B59" s="178"/>
      <c r="C59" s="61">
        <v>0.01</v>
      </c>
      <c r="D59" s="179">
        <f aca="true" t="shared" si="21" ref="D59:I59">+$C$59*D52</f>
        <v>0</v>
      </c>
      <c r="E59" s="179">
        <f t="shared" si="21"/>
        <v>0</v>
      </c>
      <c r="F59" s="179">
        <f t="shared" si="21"/>
        <v>0</v>
      </c>
      <c r="G59" s="179">
        <f t="shared" si="21"/>
        <v>0</v>
      </c>
      <c r="H59" s="179">
        <f t="shared" si="21"/>
        <v>0</v>
      </c>
      <c r="I59" s="179">
        <f t="shared" si="21"/>
        <v>0</v>
      </c>
    </row>
    <row r="60" spans="1:9" ht="12.75">
      <c r="A60" s="177" t="s">
        <v>321</v>
      </c>
      <c r="B60" s="178"/>
      <c r="C60" s="10">
        <f>5.93*22</f>
        <v>130.45999999999998</v>
      </c>
      <c r="D60" s="179">
        <f>+$C$60*11*D23</f>
        <v>0</v>
      </c>
      <c r="E60" s="179">
        <f>+C60*(1+E8)*11*E23</f>
        <v>0</v>
      </c>
      <c r="F60" s="179">
        <f>C60*(1+E8)*(1+F8)*11*F23</f>
        <v>0</v>
      </c>
      <c r="G60" s="179">
        <f>+C60*(1+E8)*(1+F8)*(1+G8)*11*G23</f>
        <v>0</v>
      </c>
      <c r="H60" s="179">
        <f>C60*(1+E8)*(1+F8)*(1+G8)*(1+H8)*11*H23</f>
        <v>0</v>
      </c>
      <c r="I60" s="179">
        <f>C60*(1+E8)*(1+F8)*(1+G8)*(1+H8)*(1+I8)*11*I23</f>
        <v>0</v>
      </c>
    </row>
    <row r="61" spans="1:9" ht="12.75">
      <c r="A61" s="177" t="s">
        <v>62</v>
      </c>
      <c r="B61" s="178"/>
      <c r="C61" s="423"/>
      <c r="D61" s="423"/>
      <c r="E61" s="423"/>
      <c r="F61" s="423"/>
      <c r="G61" s="423"/>
      <c r="H61" s="423"/>
      <c r="I61" s="423"/>
    </row>
    <row r="62" spans="1:9" ht="12.75">
      <c r="A62" s="180" t="s">
        <v>86</v>
      </c>
      <c r="B62" s="180"/>
      <c r="C62" s="181"/>
      <c r="D62" s="53"/>
      <c r="E62" s="53"/>
      <c r="F62" s="53"/>
      <c r="G62" s="53"/>
      <c r="H62" s="53"/>
      <c r="I62" s="53"/>
    </row>
    <row r="63" spans="1:9" ht="12.75">
      <c r="A63" s="182" t="s">
        <v>161</v>
      </c>
      <c r="B63" s="163"/>
      <c r="C63" s="183"/>
      <c r="D63" s="55"/>
      <c r="E63" s="55"/>
      <c r="F63" s="55"/>
      <c r="G63" s="55"/>
      <c r="H63" s="55"/>
      <c r="I63" s="55"/>
    </row>
    <row r="64" spans="1:9" ht="14.25" customHeight="1" thickBot="1">
      <c r="A64" s="464" t="s">
        <v>153</v>
      </c>
      <c r="B64" s="465"/>
      <c r="C64" s="466"/>
      <c r="D64" s="59">
        <f aca="true" t="shared" si="22" ref="D64:I64">+SUM(D57:D63)</f>
        <v>0</v>
      </c>
      <c r="E64" s="59">
        <f t="shared" si="22"/>
        <v>0</v>
      </c>
      <c r="F64" s="59">
        <f t="shared" si="22"/>
        <v>0</v>
      </c>
      <c r="G64" s="59">
        <f t="shared" si="22"/>
        <v>0</v>
      </c>
      <c r="H64" s="59">
        <f t="shared" si="22"/>
        <v>0</v>
      </c>
      <c r="I64" s="59">
        <f t="shared" si="22"/>
        <v>0</v>
      </c>
    </row>
    <row r="65" spans="1:9" ht="13.5" thickTop="1">
      <c r="A65" s="165"/>
      <c r="B65" s="165"/>
      <c r="C65" s="184"/>
      <c r="D65" s="101"/>
      <c r="E65" s="101"/>
      <c r="F65" s="101"/>
      <c r="G65" s="101"/>
      <c r="H65" s="101"/>
      <c r="I65" s="101"/>
    </row>
    <row r="66" spans="1:9" ht="13.5" thickBot="1">
      <c r="A66" s="464" t="s">
        <v>154</v>
      </c>
      <c r="B66" s="465"/>
      <c r="C66" s="466"/>
      <c r="D66" s="59">
        <f aca="true" t="shared" si="23" ref="D66:I66">D52+D64</f>
        <v>0</v>
      </c>
      <c r="E66" s="59">
        <f t="shared" si="23"/>
        <v>0</v>
      </c>
      <c r="F66" s="59">
        <f t="shared" si="23"/>
        <v>0</v>
      </c>
      <c r="G66" s="59">
        <f t="shared" si="23"/>
        <v>0</v>
      </c>
      <c r="H66" s="59">
        <f t="shared" si="23"/>
        <v>0</v>
      </c>
      <c r="I66" s="59">
        <f t="shared" si="23"/>
        <v>0</v>
      </c>
    </row>
    <row r="67" spans="1:9" ht="13.5" thickTop="1">
      <c r="A67" s="165"/>
      <c r="B67" s="165"/>
      <c r="C67" s="184"/>
      <c r="D67" s="101"/>
      <c r="E67" s="101"/>
      <c r="F67" s="101"/>
      <c r="G67" s="101"/>
      <c r="H67" s="101"/>
      <c r="I67" s="101"/>
    </row>
    <row r="68" spans="1:9" ht="12.75">
      <c r="A68" s="165"/>
      <c r="B68" s="165"/>
      <c r="C68" s="184"/>
      <c r="D68" s="101"/>
      <c r="E68" s="101"/>
      <c r="F68" s="101"/>
      <c r="G68" s="101"/>
      <c r="H68" s="101"/>
      <c r="I68" s="101"/>
    </row>
    <row r="69" spans="1:9" ht="12.75">
      <c r="A69" s="467" t="s">
        <v>156</v>
      </c>
      <c r="B69" s="468"/>
      <c r="C69" s="469"/>
      <c r="D69" s="97">
        <f aca="true" t="shared" si="24" ref="D69:I69">+D6</f>
        <v>2007</v>
      </c>
      <c r="E69" s="97">
        <f t="shared" si="24"/>
        <v>2008</v>
      </c>
      <c r="F69" s="97">
        <f t="shared" si="24"/>
        <v>2009</v>
      </c>
      <c r="G69" s="97">
        <f t="shared" si="24"/>
        <v>2010</v>
      </c>
      <c r="H69" s="97">
        <f t="shared" si="24"/>
        <v>2011</v>
      </c>
      <c r="I69" s="97">
        <f t="shared" si="24"/>
        <v>2012</v>
      </c>
    </row>
    <row r="70" spans="1:9" ht="12.75">
      <c r="A70" s="185" t="s">
        <v>157</v>
      </c>
      <c r="B70" s="143"/>
      <c r="C70" s="183"/>
      <c r="D70" s="146"/>
      <c r="E70" s="146"/>
      <c r="F70" s="146"/>
      <c r="G70" s="146"/>
      <c r="H70" s="146"/>
      <c r="I70" s="146"/>
    </row>
    <row r="71" spans="1:9" ht="12.75">
      <c r="A71" s="102" t="s">
        <v>158</v>
      </c>
      <c r="B71" s="186"/>
      <c r="C71" s="183"/>
      <c r="D71" s="176">
        <f aca="true" t="shared" si="25" ref="D71:I71">+D41</f>
        <v>0</v>
      </c>
      <c r="E71" s="176">
        <f t="shared" si="25"/>
        <v>0</v>
      </c>
      <c r="F71" s="176">
        <f t="shared" si="25"/>
        <v>0</v>
      </c>
      <c r="G71" s="176">
        <f t="shared" si="25"/>
        <v>0</v>
      </c>
      <c r="H71" s="176">
        <f t="shared" si="25"/>
        <v>0</v>
      </c>
      <c r="I71" s="176">
        <f t="shared" si="25"/>
        <v>0</v>
      </c>
    </row>
    <row r="72" spans="1:9" ht="12.75">
      <c r="A72" s="102" t="s">
        <v>63</v>
      </c>
      <c r="B72" s="186"/>
      <c r="C72" s="183"/>
      <c r="D72" s="176">
        <f aca="true" t="shared" si="26" ref="D72:I72">+SUM(D42:D51)</f>
        <v>0</v>
      </c>
      <c r="E72" s="176">
        <f t="shared" si="26"/>
        <v>0</v>
      </c>
      <c r="F72" s="176">
        <f t="shared" si="26"/>
        <v>0</v>
      </c>
      <c r="G72" s="176">
        <f t="shared" si="26"/>
        <v>0</v>
      </c>
      <c r="H72" s="176">
        <f t="shared" si="26"/>
        <v>0</v>
      </c>
      <c r="I72" s="176">
        <f t="shared" si="26"/>
        <v>0</v>
      </c>
    </row>
    <row r="73" spans="1:9" ht="12.75">
      <c r="A73" s="185" t="s">
        <v>159</v>
      </c>
      <c r="B73" s="143"/>
      <c r="C73" s="183"/>
      <c r="D73" s="176">
        <f aca="true" t="shared" si="27" ref="D73:I73">+D57+D58</f>
        <v>0</v>
      </c>
      <c r="E73" s="176">
        <f t="shared" si="27"/>
        <v>0</v>
      </c>
      <c r="F73" s="176">
        <f t="shared" si="27"/>
        <v>0</v>
      </c>
      <c r="G73" s="176">
        <f t="shared" si="27"/>
        <v>0</v>
      </c>
      <c r="H73" s="176">
        <f t="shared" si="27"/>
        <v>0</v>
      </c>
      <c r="I73" s="176">
        <f t="shared" si="27"/>
        <v>0</v>
      </c>
    </row>
    <row r="74" spans="1:9" ht="12.75">
      <c r="A74" s="185" t="str">
        <f>+A59</f>
        <v>Seguros Acidentes de Trabalho</v>
      </c>
      <c r="B74" s="143"/>
      <c r="C74" s="183"/>
      <c r="D74" s="176">
        <f aca="true" t="shared" si="28" ref="D74:I76">+D59</f>
        <v>0</v>
      </c>
      <c r="E74" s="176">
        <f t="shared" si="28"/>
        <v>0</v>
      </c>
      <c r="F74" s="176">
        <f t="shared" si="28"/>
        <v>0</v>
      </c>
      <c r="G74" s="176">
        <f t="shared" si="28"/>
        <v>0</v>
      </c>
      <c r="H74" s="176">
        <f t="shared" si="28"/>
        <v>0</v>
      </c>
      <c r="I74" s="176">
        <f t="shared" si="28"/>
        <v>0</v>
      </c>
    </row>
    <row r="75" spans="1:9" ht="12.75">
      <c r="A75" s="185" t="s">
        <v>322</v>
      </c>
      <c r="B75" s="143"/>
      <c r="C75" s="183"/>
      <c r="D75" s="176">
        <f t="shared" si="28"/>
        <v>0</v>
      </c>
      <c r="E75" s="176">
        <f t="shared" si="28"/>
        <v>0</v>
      </c>
      <c r="F75" s="176">
        <f t="shared" si="28"/>
        <v>0</v>
      </c>
      <c r="G75" s="176">
        <f t="shared" si="28"/>
        <v>0</v>
      </c>
      <c r="H75" s="176">
        <f t="shared" si="28"/>
        <v>0</v>
      </c>
      <c r="I75" s="176">
        <f t="shared" si="28"/>
        <v>0</v>
      </c>
    </row>
    <row r="76" spans="1:9" ht="12.75">
      <c r="A76" s="185" t="s">
        <v>62</v>
      </c>
      <c r="B76" s="143"/>
      <c r="C76" s="183"/>
      <c r="D76" s="176">
        <f t="shared" si="28"/>
        <v>0</v>
      </c>
      <c r="E76" s="176">
        <f t="shared" si="28"/>
        <v>0</v>
      </c>
      <c r="F76" s="176">
        <f t="shared" si="28"/>
        <v>0</v>
      </c>
      <c r="G76" s="176">
        <f t="shared" si="28"/>
        <v>0</v>
      </c>
      <c r="H76" s="176">
        <f t="shared" si="28"/>
        <v>0</v>
      </c>
      <c r="I76" s="176">
        <f t="shared" si="28"/>
        <v>0</v>
      </c>
    </row>
    <row r="77" spans="1:9" ht="12.75">
      <c r="A77" s="185" t="str">
        <f>+A62</f>
        <v>Formação </v>
      </c>
      <c r="B77" s="143"/>
      <c r="C77" s="183"/>
      <c r="D77" s="176">
        <f aca="true" t="shared" si="29" ref="D77:I78">+D62</f>
        <v>0</v>
      </c>
      <c r="E77" s="176">
        <f t="shared" si="29"/>
        <v>0</v>
      </c>
      <c r="F77" s="176">
        <f t="shared" si="29"/>
        <v>0</v>
      </c>
      <c r="G77" s="176">
        <f t="shared" si="29"/>
        <v>0</v>
      </c>
      <c r="H77" s="176">
        <f t="shared" si="29"/>
        <v>0</v>
      </c>
      <c r="I77" s="176">
        <f t="shared" si="29"/>
        <v>0</v>
      </c>
    </row>
    <row r="78" spans="1:9" ht="12.75">
      <c r="A78" s="182" t="s">
        <v>161</v>
      </c>
      <c r="B78" s="163"/>
      <c r="C78" s="187"/>
      <c r="D78" s="188">
        <f t="shared" si="29"/>
        <v>0</v>
      </c>
      <c r="E78" s="188">
        <f t="shared" si="29"/>
        <v>0</v>
      </c>
      <c r="F78" s="188">
        <f t="shared" si="29"/>
        <v>0</v>
      </c>
      <c r="G78" s="188">
        <f t="shared" si="29"/>
        <v>0</v>
      </c>
      <c r="H78" s="188">
        <f t="shared" si="29"/>
        <v>0</v>
      </c>
      <c r="I78" s="188">
        <f t="shared" si="29"/>
        <v>0</v>
      </c>
    </row>
    <row r="79" spans="1:9" ht="13.5" thickBot="1">
      <c r="A79" s="464" t="s">
        <v>154</v>
      </c>
      <c r="B79" s="465"/>
      <c r="C79" s="466"/>
      <c r="D79" s="59">
        <f aca="true" t="shared" si="30" ref="D79:I79">SUM(D71:D78)</f>
        <v>0</v>
      </c>
      <c r="E79" s="59">
        <f t="shared" si="30"/>
        <v>0</v>
      </c>
      <c r="F79" s="59">
        <f t="shared" si="30"/>
        <v>0</v>
      </c>
      <c r="G79" s="59">
        <f t="shared" si="30"/>
        <v>0</v>
      </c>
      <c r="H79" s="59">
        <f t="shared" si="30"/>
        <v>0</v>
      </c>
      <c r="I79" s="59">
        <f t="shared" si="30"/>
        <v>0</v>
      </c>
    </row>
    <row r="80" spans="1:9" ht="13.5" thickTop="1">
      <c r="A80" s="189"/>
      <c r="B80" s="189"/>
      <c r="C80" s="189"/>
      <c r="D80" s="171"/>
      <c r="E80" s="171"/>
      <c r="F80" s="171"/>
      <c r="G80" s="171"/>
      <c r="H80" s="171"/>
      <c r="I80" s="171"/>
    </row>
    <row r="81" spans="1:9" ht="12.75">
      <c r="A81" s="165"/>
      <c r="B81" s="165"/>
      <c r="C81" s="101"/>
      <c r="D81" s="101"/>
      <c r="E81" s="101"/>
      <c r="F81" s="101"/>
      <c r="G81" s="101"/>
      <c r="H81" s="101"/>
      <c r="I81" s="101"/>
    </row>
    <row r="82" spans="1:9" ht="12.75">
      <c r="A82" s="467" t="s">
        <v>258</v>
      </c>
      <c r="B82" s="468"/>
      <c r="C82" s="469"/>
      <c r="D82" s="97">
        <f aca="true" t="shared" si="31" ref="D82:I82">+D69</f>
        <v>2007</v>
      </c>
      <c r="E82" s="97">
        <f t="shared" si="31"/>
        <v>2008</v>
      </c>
      <c r="F82" s="97">
        <f t="shared" si="31"/>
        <v>2009</v>
      </c>
      <c r="G82" s="97">
        <f t="shared" si="31"/>
        <v>2010</v>
      </c>
      <c r="H82" s="97">
        <f t="shared" si="31"/>
        <v>2011</v>
      </c>
      <c r="I82" s="97">
        <f t="shared" si="31"/>
        <v>2012</v>
      </c>
    </row>
    <row r="83" spans="1:9" ht="12.75">
      <c r="A83" s="185" t="s">
        <v>256</v>
      </c>
      <c r="B83" s="143"/>
      <c r="C83" s="175"/>
      <c r="D83" s="176"/>
      <c r="E83" s="176"/>
      <c r="F83" s="176"/>
      <c r="G83" s="176"/>
      <c r="H83" s="176"/>
      <c r="I83" s="176"/>
    </row>
    <row r="84" spans="1:9" ht="12.75">
      <c r="A84" s="102" t="s">
        <v>320</v>
      </c>
      <c r="B84" s="174"/>
      <c r="C84" s="175">
        <v>0.1</v>
      </c>
      <c r="D84" s="176">
        <f>+$C$84*D71</f>
        <v>0</v>
      </c>
      <c r="E84" s="176">
        <f>+$C$84*E41</f>
        <v>0</v>
      </c>
      <c r="F84" s="176">
        <f>+$C$84*F41</f>
        <v>0</v>
      </c>
      <c r="G84" s="176">
        <f>+$C$84*G41</f>
        <v>0</v>
      </c>
      <c r="H84" s="176">
        <f>+$C$84*H41</f>
        <v>0</v>
      </c>
      <c r="I84" s="176">
        <f>+$C$84*I41</f>
        <v>0</v>
      </c>
    </row>
    <row r="85" spans="1:9" ht="12.75">
      <c r="A85" s="102" t="s">
        <v>255</v>
      </c>
      <c r="B85" s="174"/>
      <c r="C85" s="175">
        <v>0.11</v>
      </c>
      <c r="D85" s="176">
        <f aca="true" t="shared" si="32" ref="D85:I85">+$C$85*(D72+D76)</f>
        <v>0</v>
      </c>
      <c r="E85" s="176">
        <f t="shared" si="32"/>
        <v>0</v>
      </c>
      <c r="F85" s="176">
        <f t="shared" si="32"/>
        <v>0</v>
      </c>
      <c r="G85" s="176">
        <f t="shared" si="32"/>
        <v>0</v>
      </c>
      <c r="H85" s="176">
        <f t="shared" si="32"/>
        <v>0</v>
      </c>
      <c r="I85" s="176">
        <f t="shared" si="32"/>
        <v>0</v>
      </c>
    </row>
    <row r="86" spans="1:9" ht="12.75">
      <c r="A86" s="185" t="s">
        <v>257</v>
      </c>
      <c r="B86" s="143"/>
      <c r="C86" s="175">
        <v>0.15</v>
      </c>
      <c r="D86" s="176">
        <f aca="true" t="shared" si="33" ref="D86:I86">+$C$86*(D71+D72+D76)</f>
        <v>0</v>
      </c>
      <c r="E86" s="176">
        <f t="shared" si="33"/>
        <v>0</v>
      </c>
      <c r="F86" s="176">
        <f t="shared" si="33"/>
        <v>0</v>
      </c>
      <c r="G86" s="176">
        <f t="shared" si="33"/>
        <v>0</v>
      </c>
      <c r="H86" s="176">
        <f t="shared" si="33"/>
        <v>0</v>
      </c>
      <c r="I86" s="176">
        <f t="shared" si="33"/>
        <v>0</v>
      </c>
    </row>
    <row r="87" spans="1:9" ht="13.5" thickBot="1">
      <c r="A87" s="464" t="s">
        <v>259</v>
      </c>
      <c r="B87" s="465"/>
      <c r="C87" s="466"/>
      <c r="D87" s="59">
        <f aca="true" t="shared" si="34" ref="D87:I87">SUM(D84:D86)</f>
        <v>0</v>
      </c>
      <c r="E87" s="59">
        <f t="shared" si="34"/>
        <v>0</v>
      </c>
      <c r="F87" s="59">
        <f t="shared" si="34"/>
        <v>0</v>
      </c>
      <c r="G87" s="59">
        <f t="shared" si="34"/>
        <v>0</v>
      </c>
      <c r="H87" s="59">
        <f t="shared" si="34"/>
        <v>0</v>
      </c>
      <c r="I87" s="59">
        <f t="shared" si="34"/>
        <v>0</v>
      </c>
    </row>
    <row r="88" spans="1:9" ht="13.5" thickTop="1">
      <c r="A88" s="119"/>
      <c r="B88" s="119"/>
      <c r="C88" s="190"/>
      <c r="D88" s="191"/>
      <c r="E88" s="191"/>
      <c r="F88" s="191"/>
      <c r="G88" s="191"/>
      <c r="H88" s="191"/>
      <c r="I88" s="191"/>
    </row>
    <row r="89" spans="1:9" ht="12.75">
      <c r="A89" s="119"/>
      <c r="B89" s="119"/>
      <c r="C89" s="190"/>
      <c r="D89" s="119"/>
      <c r="E89" s="119"/>
      <c r="F89" s="119"/>
      <c r="G89" s="119"/>
      <c r="H89" s="119"/>
      <c r="I89" s="119"/>
    </row>
    <row r="90" spans="1:9" ht="12.75">
      <c r="A90" s="192"/>
      <c r="B90" s="192"/>
      <c r="C90" s="190"/>
      <c r="D90" s="191"/>
      <c r="E90" s="191"/>
      <c r="F90" s="191"/>
      <c r="G90" s="191"/>
      <c r="H90" s="191"/>
      <c r="I90" s="191"/>
    </row>
  </sheetData>
  <sheetProtection password="8618" sheet="1" objects="1" scenarios="1"/>
  <mergeCells count="13">
    <mergeCell ref="A55:C55"/>
    <mergeCell ref="A40:C40"/>
    <mergeCell ref="A52:C52"/>
    <mergeCell ref="A4:I4"/>
    <mergeCell ref="A87:C87"/>
    <mergeCell ref="A82:C82"/>
    <mergeCell ref="A79:C79"/>
    <mergeCell ref="A69:C69"/>
    <mergeCell ref="A64:C64"/>
    <mergeCell ref="A66:C66"/>
    <mergeCell ref="A11:C11"/>
    <mergeCell ref="A23:C23"/>
    <mergeCell ref="A26:C26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6"/>
  <sheetViews>
    <sheetView showGridLines="0" showZeros="0" workbookViewId="0" topLeftCell="A1">
      <selection activeCell="C9" sqref="C9"/>
    </sheetView>
  </sheetViews>
  <sheetFormatPr defaultColWidth="9.140625" defaultRowHeight="12.75"/>
  <cols>
    <col min="1" max="1" width="30.8515625" style="111" customWidth="1"/>
    <col min="2" max="2" width="7.57421875" style="111" customWidth="1"/>
    <col min="3" max="13" width="11.421875" style="111" customWidth="1"/>
    <col min="14" max="16384" width="8.7109375" style="111" customWidth="1"/>
  </cols>
  <sheetData>
    <row r="1" spans="1:8" ht="12.75">
      <c r="A1" s="101"/>
      <c r="B1" s="101"/>
      <c r="C1" s="194"/>
      <c r="D1" s="194"/>
      <c r="E1" s="194"/>
      <c r="F1" s="194"/>
      <c r="G1" s="195" t="s">
        <v>120</v>
      </c>
      <c r="H1" s="196" t="str">
        <f>+Pressupostos!E1</f>
        <v>XPTO, Lda</v>
      </c>
    </row>
    <row r="2" spans="1:8" ht="12.75">
      <c r="A2" s="101"/>
      <c r="B2" s="101"/>
      <c r="C2" s="101"/>
      <c r="D2" s="101"/>
      <c r="E2" s="101"/>
      <c r="F2" s="101"/>
      <c r="G2" s="101"/>
      <c r="H2" s="95" t="str">
        <f>+Pressupostos!B9</f>
        <v>Euros</v>
      </c>
    </row>
    <row r="3" spans="1:8" ht="12.75">
      <c r="A3" s="101"/>
      <c r="B3" s="101"/>
      <c r="C3" s="101"/>
      <c r="D3" s="101"/>
      <c r="E3" s="101"/>
      <c r="F3" s="101"/>
      <c r="G3" s="101"/>
      <c r="H3" s="95"/>
    </row>
    <row r="4" spans="1:8" ht="13.5" customHeight="1">
      <c r="A4" s="458" t="s">
        <v>282</v>
      </c>
      <c r="B4" s="458"/>
      <c r="C4" s="458"/>
      <c r="D4" s="458"/>
      <c r="E4" s="458"/>
      <c r="F4" s="458"/>
      <c r="G4" s="458"/>
      <c r="H4" s="458"/>
    </row>
    <row r="5" spans="1:8" ht="12.75" customHeight="1">
      <c r="A5" s="101"/>
      <c r="B5" s="197"/>
      <c r="C5" s="197"/>
      <c r="D5" s="101"/>
      <c r="E5" s="101"/>
      <c r="F5" s="101"/>
      <c r="G5" s="101"/>
      <c r="H5" s="101"/>
    </row>
    <row r="6" spans="1:8" ht="12.75">
      <c r="A6" s="101"/>
      <c r="B6" s="184"/>
      <c r="C6" s="197"/>
      <c r="D6" s="101"/>
      <c r="E6" s="101"/>
      <c r="F6" s="101"/>
      <c r="G6" s="101"/>
      <c r="H6" s="101"/>
    </row>
    <row r="7" spans="1:8" ht="12.75">
      <c r="A7" s="185"/>
      <c r="B7" s="178"/>
      <c r="C7" s="97">
        <f>+VN!C8</f>
        <v>2007</v>
      </c>
      <c r="D7" s="97">
        <f>+VN!D8</f>
        <v>2008</v>
      </c>
      <c r="E7" s="97">
        <f>+VN!E8</f>
        <v>2009</v>
      </c>
      <c r="F7" s="97">
        <f>+VN!F8</f>
        <v>2010</v>
      </c>
      <c r="G7" s="97">
        <f>+VN!G8</f>
        <v>2011</v>
      </c>
      <c r="H7" s="97">
        <f>+VN!H8</f>
        <v>2012</v>
      </c>
    </row>
    <row r="8" spans="1:8" ht="12.75">
      <c r="A8" s="198" t="s">
        <v>162</v>
      </c>
      <c r="B8" s="199"/>
      <c r="C8" s="200"/>
      <c r="D8" s="146"/>
      <c r="E8" s="146"/>
      <c r="F8" s="146"/>
      <c r="G8" s="146"/>
      <c r="H8" s="146"/>
    </row>
    <row r="9" spans="1:8" ht="12.75">
      <c r="A9" s="102" t="s">
        <v>165</v>
      </c>
      <c r="B9" s="199"/>
      <c r="C9" s="8"/>
      <c r="D9" s="161">
        <f>+C9</f>
        <v>0</v>
      </c>
      <c r="E9" s="161">
        <f>+D9</f>
        <v>0</v>
      </c>
      <c r="F9" s="161">
        <f>+E9</f>
        <v>0</v>
      </c>
      <c r="G9" s="161">
        <f>+F9</f>
        <v>0</v>
      </c>
      <c r="H9" s="161">
        <f>+G9</f>
        <v>0</v>
      </c>
    </row>
    <row r="10" spans="1:8" ht="12.75">
      <c r="A10" s="102" t="s">
        <v>104</v>
      </c>
      <c r="B10" s="199"/>
      <c r="C10" s="161">
        <f>VN!C84*Pressupostos!$C$11/12</f>
        <v>0</v>
      </c>
      <c r="D10" s="161">
        <f>VN!D84*Pressupostos!$C$11/12</f>
        <v>0</v>
      </c>
      <c r="E10" s="161">
        <f>VN!E84*Pressupostos!$C$11/12</f>
        <v>0</v>
      </c>
      <c r="F10" s="161">
        <f>VN!F84*Pressupostos!$C$11/12</f>
        <v>0</v>
      </c>
      <c r="G10" s="161">
        <f>VN!G84*Pressupostos!$C$11/12</f>
        <v>0</v>
      </c>
      <c r="H10" s="161">
        <f>VN!H84*Pressupostos!$C$11/12</f>
        <v>0</v>
      </c>
    </row>
    <row r="11" spans="1:8" ht="12.75">
      <c r="A11" s="102" t="s">
        <v>103</v>
      </c>
      <c r="B11" s="199"/>
      <c r="C11" s="161">
        <f>CMVMC!C16*Pressupostos!$C$13/12</f>
        <v>0</v>
      </c>
      <c r="D11" s="161">
        <f>CMVMC!D16*Pressupostos!$C$13/12</f>
        <v>0</v>
      </c>
      <c r="E11" s="161">
        <f>CMVMC!E16*Pressupostos!$C$13/12</f>
        <v>0</v>
      </c>
      <c r="F11" s="161">
        <f>CMVMC!F16*Pressupostos!$C$13/12</f>
        <v>0</v>
      </c>
      <c r="G11" s="161">
        <f>CMVMC!G16*Pressupostos!$C$13/12</f>
        <v>0</v>
      </c>
      <c r="H11" s="161">
        <f>CMVMC!H16*Pressupostos!$C$13/12</f>
        <v>0</v>
      </c>
    </row>
    <row r="12" spans="1:8" ht="12.75">
      <c r="A12" s="475" t="s">
        <v>260</v>
      </c>
      <c r="B12" s="476"/>
      <c r="C12" s="63"/>
      <c r="D12" s="63"/>
      <c r="E12" s="63"/>
      <c r="F12" s="63"/>
      <c r="G12" s="63"/>
      <c r="H12" s="63"/>
    </row>
    <row r="13" spans="1:8" ht="12.75">
      <c r="A13" s="475" t="s">
        <v>260</v>
      </c>
      <c r="B13" s="476"/>
      <c r="C13" s="63"/>
      <c r="D13" s="63"/>
      <c r="E13" s="63"/>
      <c r="F13" s="63"/>
      <c r="G13" s="63"/>
      <c r="H13" s="63"/>
    </row>
    <row r="14" spans="1:8" ht="12.75">
      <c r="A14" s="473" t="s">
        <v>87</v>
      </c>
      <c r="B14" s="474"/>
      <c r="C14" s="201">
        <f aca="true" t="shared" si="0" ref="C14:H14">SUM(C9:C13)</f>
        <v>0</v>
      </c>
      <c r="D14" s="201">
        <f t="shared" si="0"/>
        <v>0</v>
      </c>
      <c r="E14" s="201">
        <f t="shared" si="0"/>
        <v>0</v>
      </c>
      <c r="F14" s="201">
        <f t="shared" si="0"/>
        <v>0</v>
      </c>
      <c r="G14" s="201">
        <f t="shared" si="0"/>
        <v>0</v>
      </c>
      <c r="H14" s="201">
        <f t="shared" si="0"/>
        <v>0</v>
      </c>
    </row>
    <row r="15" spans="1:8" ht="12.75">
      <c r="A15" s="202" t="s">
        <v>163</v>
      </c>
      <c r="B15" s="199"/>
      <c r="C15" s="203"/>
      <c r="D15" s="204"/>
      <c r="E15" s="204"/>
      <c r="F15" s="204"/>
      <c r="G15" s="204"/>
      <c r="H15" s="204"/>
    </row>
    <row r="16" spans="1:8" ht="12.75">
      <c r="A16" s="102" t="s">
        <v>29</v>
      </c>
      <c r="B16" s="199"/>
      <c r="C16" s="161">
        <f>(CMVMC!C20+FSE!F49)*Pressupostos!$C$12/12</f>
        <v>0</v>
      </c>
      <c r="D16" s="161">
        <f>(CMVMC!D20+FSE!G49)*Pressupostos!$C$12/12</f>
        <v>0</v>
      </c>
      <c r="E16" s="161">
        <f>(CMVMC!E20+FSE!H49)*Pressupostos!$C$12/12</f>
        <v>0</v>
      </c>
      <c r="F16" s="161">
        <f>(CMVMC!F20+FSE!I49)*Pressupostos!$C$12/12</f>
        <v>0</v>
      </c>
      <c r="G16" s="161">
        <f>(CMVMC!G20+FSE!J49)*Pressupostos!$C$12/12</f>
        <v>0</v>
      </c>
      <c r="H16" s="161">
        <f>(CMVMC!H20+FSE!K49)*Pressupostos!$C$12/12</f>
        <v>0</v>
      </c>
    </row>
    <row r="17" spans="1:8" ht="12.75">
      <c r="A17" s="102" t="s">
        <v>105</v>
      </c>
      <c r="B17" s="199"/>
      <c r="C17" s="161">
        <f>((VN!C82-CMVMC!C18-FSE!F47-Investimento!C31)/4*1)+(('Custos Pessoal'!D71*(0.2125+0.1+Pressupostos!$B$20))+(('Custos Pessoal'!D72*(0.2375+0.11+Pressupostos!$B$20)))/12)</f>
        <v>0</v>
      </c>
      <c r="D17" s="161">
        <f>((VN!D82-CMVMC!D18-FSE!G47-Investimento!D31)/4*1)+(('Custos Pessoal'!E71*(0.2125+0.1+Pressupostos!$B$20))+(('Custos Pessoal'!E72*(0.2375+0.11+Pressupostos!$B$20)))/12)</f>
        <v>0</v>
      </c>
      <c r="E17" s="161">
        <f>((VN!E82-CMVMC!E18-FSE!H47-Investimento!E31)/4*1)+(('Custos Pessoal'!F71*(0.2125+0.1+Pressupostos!$B$20))+(('Custos Pessoal'!F72*(0.2375+0.11+Pressupostos!$B$20)))/12)</f>
        <v>0</v>
      </c>
      <c r="F17" s="161">
        <f>((VN!F82-CMVMC!F18-FSE!I47-Investimento!F31)/4*1)+(('Custos Pessoal'!G71*(0.2125+0.1+Pressupostos!$B$20))+(('Custos Pessoal'!G72*(0.2375+0.11+Pressupostos!$B$20)))/12)</f>
        <v>0</v>
      </c>
      <c r="G17" s="161">
        <f>((VN!G82-CMVMC!G18-FSE!J47-Investimento!G31)/4*1)+(('Custos Pessoal'!H71*(0.2125+0.1+Pressupostos!$B$20))+(('Custos Pessoal'!H72*(0.2375+0.11+Pressupostos!$B$20)))/12)</f>
        <v>0</v>
      </c>
      <c r="H17" s="161">
        <f>((VN!H82-CMVMC!H18-FSE!K47-Investimento!H31)/4*1)+(('Custos Pessoal'!I71*(0.2125+0.1+Pressupostos!$B$20))+(('Custos Pessoal'!I72*(0.2375+0.11+Pressupostos!$B$20)))/12)</f>
        <v>0</v>
      </c>
    </row>
    <row r="18" spans="1:8" ht="12.75">
      <c r="A18" s="475" t="s">
        <v>260</v>
      </c>
      <c r="B18" s="476"/>
      <c r="C18" s="64"/>
      <c r="D18" s="64"/>
      <c r="E18" s="64"/>
      <c r="F18" s="64"/>
      <c r="G18" s="64"/>
      <c r="H18" s="64"/>
    </row>
    <row r="19" spans="1:8" ht="13.5" thickBot="1">
      <c r="A19" s="460" t="s">
        <v>87</v>
      </c>
      <c r="B19" s="461"/>
      <c r="C19" s="205">
        <f aca="true" t="shared" si="1" ref="C19:H19">+SUM(C16:C18)</f>
        <v>0</v>
      </c>
      <c r="D19" s="205">
        <f t="shared" si="1"/>
        <v>0</v>
      </c>
      <c r="E19" s="205">
        <f t="shared" si="1"/>
        <v>0</v>
      </c>
      <c r="F19" s="205">
        <f t="shared" si="1"/>
        <v>0</v>
      </c>
      <c r="G19" s="205">
        <f t="shared" si="1"/>
        <v>0</v>
      </c>
      <c r="H19" s="205">
        <f t="shared" si="1"/>
        <v>0</v>
      </c>
    </row>
    <row r="20" spans="1:8" ht="13.5" thickTop="1">
      <c r="A20" s="206"/>
      <c r="B20" s="165"/>
      <c r="C20" s="207"/>
      <c r="D20" s="208"/>
      <c r="E20" s="208"/>
      <c r="F20" s="208"/>
      <c r="G20" s="208"/>
      <c r="H20" s="208"/>
    </row>
    <row r="21" spans="1:8" ht="13.5" thickBot="1">
      <c r="A21" s="209" t="s">
        <v>323</v>
      </c>
      <c r="B21" s="210"/>
      <c r="C21" s="205">
        <f aca="true" t="shared" si="2" ref="C21:H21">+C14-C19</f>
        <v>0</v>
      </c>
      <c r="D21" s="205">
        <f t="shared" si="2"/>
        <v>0</v>
      </c>
      <c r="E21" s="205">
        <f t="shared" si="2"/>
        <v>0</v>
      </c>
      <c r="F21" s="205">
        <f t="shared" si="2"/>
        <v>0</v>
      </c>
      <c r="G21" s="205">
        <f t="shared" si="2"/>
        <v>0</v>
      </c>
      <c r="H21" s="205">
        <f t="shared" si="2"/>
        <v>0</v>
      </c>
    </row>
    <row r="22" spans="1:8" ht="13.5" thickTop="1">
      <c r="A22" s="211"/>
      <c r="B22" s="212"/>
      <c r="C22" s="207"/>
      <c r="D22" s="208"/>
      <c r="E22" s="208"/>
      <c r="F22" s="208"/>
      <c r="G22" s="208"/>
      <c r="H22" s="208"/>
    </row>
    <row r="23" spans="1:8" ht="13.5" thickBot="1">
      <c r="A23" s="209" t="s">
        <v>164</v>
      </c>
      <c r="B23" s="210"/>
      <c r="C23" s="205">
        <f>+C21</f>
        <v>0</v>
      </c>
      <c r="D23" s="205">
        <f>+D21-C21</f>
        <v>0</v>
      </c>
      <c r="E23" s="205">
        <f>+E21-D21</f>
        <v>0</v>
      </c>
      <c r="F23" s="205">
        <f>+F21-E21</f>
        <v>0</v>
      </c>
      <c r="G23" s="205">
        <f>+G21-F21</f>
        <v>0</v>
      </c>
      <c r="H23" s="205">
        <f>+H21-G21</f>
        <v>0</v>
      </c>
    </row>
    <row r="24" spans="1:8" ht="13.5" thickTop="1">
      <c r="A24" s="206"/>
      <c r="B24" s="165"/>
      <c r="C24" s="170"/>
      <c r="D24" s="101"/>
      <c r="E24" s="101"/>
      <c r="F24" s="101"/>
      <c r="G24" s="101"/>
      <c r="H24" s="101"/>
    </row>
    <row r="25" spans="1:8" ht="12.75">
      <c r="A25" s="213" t="s">
        <v>324</v>
      </c>
      <c r="B25" s="165"/>
      <c r="C25" s="170"/>
      <c r="D25" s="101"/>
      <c r="E25" s="101"/>
      <c r="F25" s="101"/>
      <c r="G25" s="101"/>
      <c r="H25" s="101"/>
    </row>
    <row r="26" spans="1:8" ht="12.75">
      <c r="A26" s="101"/>
      <c r="B26" s="101"/>
      <c r="C26" s="197"/>
      <c r="D26" s="197"/>
      <c r="E26" s="214"/>
      <c r="F26" s="197"/>
      <c r="G26" s="197"/>
      <c r="H26" s="197"/>
    </row>
    <row r="27" spans="3:8" ht="12.75">
      <c r="C27" s="215"/>
      <c r="D27" s="215"/>
      <c r="E27" s="216"/>
      <c r="F27" s="215"/>
      <c r="G27" s="215"/>
      <c r="H27" s="215"/>
    </row>
    <row r="28" ht="12.75">
      <c r="E28" s="216"/>
    </row>
    <row r="29" ht="12.75">
      <c r="E29" s="216"/>
    </row>
    <row r="30" ht="12.75">
      <c r="E30" s="216"/>
    </row>
    <row r="31" ht="12.75">
      <c r="E31" s="216"/>
    </row>
    <row r="32" ht="12.75">
      <c r="E32" s="216"/>
    </row>
    <row r="33" ht="12.75">
      <c r="E33" s="216"/>
    </row>
    <row r="34" ht="12.75">
      <c r="E34" s="216"/>
    </row>
    <row r="35" ht="12.75">
      <c r="E35" s="216"/>
    </row>
    <row r="36" ht="12.75">
      <c r="E36" s="216"/>
    </row>
  </sheetData>
  <sheetProtection password="8618" sheet="1" objects="1" scenarios="1"/>
  <mergeCells count="6">
    <mergeCell ref="A4:H4"/>
    <mergeCell ref="A14:B14"/>
    <mergeCell ref="A19:B19"/>
    <mergeCell ref="A18:B18"/>
    <mergeCell ref="A12:B12"/>
    <mergeCell ref="A13:B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2"/>
  <sheetViews>
    <sheetView showGridLines="0" showZeros="0" workbookViewId="0" topLeftCell="A16">
      <selection activeCell="B141" sqref="B141"/>
    </sheetView>
  </sheetViews>
  <sheetFormatPr defaultColWidth="9.140625" defaultRowHeight="12.75"/>
  <cols>
    <col min="1" max="1" width="35.7109375" style="218" customWidth="1"/>
    <col min="2" max="2" width="8.7109375" style="218" customWidth="1"/>
    <col min="3" max="8" width="9.7109375" style="218" customWidth="1"/>
    <col min="9" max="9" width="3.421875" style="218" customWidth="1"/>
    <col min="10" max="10" width="2.7109375" style="218" customWidth="1"/>
    <col min="11" max="16384" width="8.7109375" style="218" customWidth="1"/>
  </cols>
  <sheetData>
    <row r="1" spans="1:8" s="111" customFormat="1" ht="13.5">
      <c r="A1" s="101"/>
      <c r="B1" s="101"/>
      <c r="C1" s="90"/>
      <c r="D1" s="90"/>
      <c r="E1" s="90"/>
      <c r="F1" s="90"/>
      <c r="G1" s="137" t="s">
        <v>120</v>
      </c>
      <c r="H1" s="138" t="str">
        <f>+Pressupostos!E1</f>
        <v>XPTO, Lda</v>
      </c>
    </row>
    <row r="2" spans="1:8" s="111" customFormat="1" ht="12.75">
      <c r="A2" s="94"/>
      <c r="B2" s="90"/>
      <c r="C2" s="90"/>
      <c r="D2" s="90"/>
      <c r="E2" s="90"/>
      <c r="F2" s="90"/>
      <c r="G2" s="101"/>
      <c r="H2" s="95" t="str">
        <f>+Pressupostos!B9</f>
        <v>Euros</v>
      </c>
    </row>
    <row r="3" spans="1:8" s="111" customFormat="1" ht="12.75">
      <c r="A3" s="94"/>
      <c r="B3" s="90"/>
      <c r="C3" s="90"/>
      <c r="D3" s="90"/>
      <c r="E3" s="90"/>
      <c r="F3" s="90"/>
      <c r="G3" s="101"/>
      <c r="H3" s="95"/>
    </row>
    <row r="4" spans="1:8" s="111" customFormat="1" ht="15.75">
      <c r="A4" s="458" t="s">
        <v>112</v>
      </c>
      <c r="B4" s="458"/>
      <c r="C4" s="458"/>
      <c r="D4" s="458"/>
      <c r="E4" s="458"/>
      <c r="F4" s="458"/>
      <c r="G4" s="458"/>
      <c r="H4" s="458"/>
    </row>
    <row r="5" spans="1:8" ht="12.75">
      <c r="A5" s="217"/>
      <c r="B5" s="217"/>
      <c r="C5" s="217"/>
      <c r="D5" s="217"/>
      <c r="E5" s="217"/>
      <c r="F5" s="217"/>
      <c r="G5" s="217"/>
      <c r="H5" s="217"/>
    </row>
    <row r="6" spans="1:8" ht="12.75">
      <c r="A6" s="219"/>
      <c r="B6" s="219"/>
      <c r="C6" s="220"/>
      <c r="D6" s="220"/>
      <c r="E6" s="220"/>
      <c r="F6" s="220"/>
      <c r="G6" s="220"/>
      <c r="H6" s="220"/>
    </row>
    <row r="7" spans="1:8" ht="12.75">
      <c r="A7" s="221" t="s">
        <v>385</v>
      </c>
      <c r="B7" s="222"/>
      <c r="C7" s="223"/>
      <c r="D7" s="224"/>
      <c r="E7" s="224"/>
      <c r="F7" s="224"/>
      <c r="G7" s="224"/>
      <c r="H7" s="224"/>
    </row>
    <row r="8" spans="1:8" ht="12.75">
      <c r="A8" s="225" t="s">
        <v>386</v>
      </c>
      <c r="B8" s="69" t="s">
        <v>387</v>
      </c>
      <c r="C8" s="226"/>
      <c r="D8" s="226"/>
      <c r="E8" s="226"/>
      <c r="F8" s="226"/>
      <c r="G8" s="226"/>
      <c r="H8" s="226"/>
    </row>
    <row r="9" spans="1:8" ht="12.75">
      <c r="A9" s="225" t="s">
        <v>388</v>
      </c>
      <c r="B9" s="227" t="str">
        <f>IF(B8="S","N","S")</f>
        <v>N</v>
      </c>
      <c r="C9" s="217"/>
      <c r="D9" s="217"/>
      <c r="E9" s="217"/>
      <c r="F9" s="217"/>
      <c r="G9" s="217"/>
      <c r="H9" s="217"/>
    </row>
    <row r="10" spans="1:8" ht="12.75">
      <c r="A10" s="217"/>
      <c r="B10" s="217"/>
      <c r="C10" s="217"/>
      <c r="D10" s="217"/>
      <c r="E10" s="217"/>
      <c r="F10" s="217"/>
      <c r="G10" s="217"/>
      <c r="H10" s="217"/>
    </row>
    <row r="11" spans="1:8" ht="12.75">
      <c r="A11" s="482" t="s">
        <v>389</v>
      </c>
      <c r="B11" s="482"/>
      <c r="C11" s="228">
        <f>+VN!C8</f>
        <v>2007</v>
      </c>
      <c r="D11" s="228">
        <f>+VN!D8</f>
        <v>2008</v>
      </c>
      <c r="E11" s="228">
        <f>+VN!E8</f>
        <v>2009</v>
      </c>
      <c r="F11" s="228">
        <f>+VN!F8</f>
        <v>2010</v>
      </c>
      <c r="G11" s="228">
        <f>+VN!G8</f>
        <v>2011</v>
      </c>
      <c r="H11" s="228">
        <f>+VN!H8</f>
        <v>2012</v>
      </c>
    </row>
    <row r="12" spans="1:8" ht="12.75">
      <c r="A12" s="229" t="s">
        <v>44</v>
      </c>
      <c r="B12" s="230"/>
      <c r="C12" s="231"/>
      <c r="D12" s="231"/>
      <c r="E12" s="231"/>
      <c r="F12" s="231"/>
      <c r="G12" s="231"/>
      <c r="H12" s="231"/>
    </row>
    <row r="13" spans="1:8" ht="12.75">
      <c r="A13" s="232" t="s">
        <v>52</v>
      </c>
      <c r="B13" s="230"/>
      <c r="C13" s="67"/>
      <c r="D13" s="67"/>
      <c r="E13" s="67"/>
      <c r="F13" s="67"/>
      <c r="G13" s="67"/>
      <c r="H13" s="67"/>
    </row>
    <row r="14" spans="1:8" ht="12.75">
      <c r="A14" s="232" t="s">
        <v>53</v>
      </c>
      <c r="B14" s="230"/>
      <c r="C14" s="67"/>
      <c r="D14" s="67"/>
      <c r="E14" s="67"/>
      <c r="F14" s="67"/>
      <c r="G14" s="67"/>
      <c r="H14" s="67"/>
    </row>
    <row r="15" spans="1:8" ht="12.75">
      <c r="A15" s="232" t="s">
        <v>54</v>
      </c>
      <c r="B15" s="230"/>
      <c r="C15" s="67"/>
      <c r="D15" s="67"/>
      <c r="E15" s="67"/>
      <c r="F15" s="67"/>
      <c r="G15" s="67"/>
      <c r="H15" s="67"/>
    </row>
    <row r="16" spans="1:8" ht="12.75">
      <c r="A16" s="232" t="s">
        <v>55</v>
      </c>
      <c r="B16" s="230"/>
      <c r="C16" s="67"/>
      <c r="D16" s="67"/>
      <c r="E16" s="67"/>
      <c r="F16" s="67"/>
      <c r="G16" s="67"/>
      <c r="H16" s="67"/>
    </row>
    <row r="17" spans="1:8" ht="12.75">
      <c r="A17" s="232" t="s">
        <v>390</v>
      </c>
      <c r="B17" s="230"/>
      <c r="C17" s="67"/>
      <c r="D17" s="67"/>
      <c r="E17" s="67"/>
      <c r="F17" s="67"/>
      <c r="G17" s="67"/>
      <c r="H17" s="67"/>
    </row>
    <row r="18" spans="1:8" ht="12.75">
      <c r="A18" s="479" t="s">
        <v>56</v>
      </c>
      <c r="B18" s="480"/>
      <c r="C18" s="233">
        <f aca="true" t="shared" si="0" ref="C18:H18">SUM(C13:C17)</f>
        <v>0</v>
      </c>
      <c r="D18" s="233">
        <f t="shared" si="0"/>
        <v>0</v>
      </c>
      <c r="E18" s="233">
        <f t="shared" si="0"/>
        <v>0</v>
      </c>
      <c r="F18" s="233">
        <f t="shared" si="0"/>
        <v>0</v>
      </c>
      <c r="G18" s="233">
        <f t="shared" si="0"/>
        <v>0</v>
      </c>
      <c r="H18" s="233">
        <f t="shared" si="0"/>
        <v>0</v>
      </c>
    </row>
    <row r="19" spans="1:8" ht="12.75">
      <c r="A19" s="229" t="s">
        <v>45</v>
      </c>
      <c r="B19" s="230"/>
      <c r="C19" s="234"/>
      <c r="D19" s="234"/>
      <c r="E19" s="234"/>
      <c r="F19" s="234"/>
      <c r="G19" s="234"/>
      <c r="H19" s="234"/>
    </row>
    <row r="20" spans="1:8" ht="12.75">
      <c r="A20" s="232" t="s">
        <v>391</v>
      </c>
      <c r="B20" s="230"/>
      <c r="C20" s="68"/>
      <c r="D20" s="68"/>
      <c r="E20" s="68"/>
      <c r="F20" s="68"/>
      <c r="G20" s="68"/>
      <c r="H20" s="68"/>
    </row>
    <row r="21" spans="1:8" ht="12.75">
      <c r="A21" s="232" t="s">
        <v>392</v>
      </c>
      <c r="B21" s="230"/>
      <c r="C21" s="68"/>
      <c r="D21" s="68"/>
      <c r="E21" s="68"/>
      <c r="F21" s="68"/>
      <c r="G21" s="68"/>
      <c r="H21" s="68"/>
    </row>
    <row r="22" spans="1:8" ht="12.75">
      <c r="A22" s="232" t="s">
        <v>393</v>
      </c>
      <c r="B22" s="230"/>
      <c r="C22" s="68"/>
      <c r="D22" s="68"/>
      <c r="E22" s="68"/>
      <c r="F22" s="68"/>
      <c r="G22" s="68"/>
      <c r="H22" s="68"/>
    </row>
    <row r="23" spans="1:8" ht="12.75">
      <c r="A23" s="232" t="s">
        <v>394</v>
      </c>
      <c r="B23" s="230"/>
      <c r="C23" s="68"/>
      <c r="D23" s="68"/>
      <c r="E23" s="68"/>
      <c r="F23" s="68"/>
      <c r="G23" s="68"/>
      <c r="H23" s="68"/>
    </row>
    <row r="24" spans="1:8" ht="12.75">
      <c r="A24" s="232" t="s">
        <v>395</v>
      </c>
      <c r="B24" s="230"/>
      <c r="C24" s="68"/>
      <c r="D24" s="68"/>
      <c r="E24" s="68"/>
      <c r="F24" s="68"/>
      <c r="G24" s="68"/>
      <c r="H24" s="68"/>
    </row>
    <row r="25" spans="1:8" ht="12.75">
      <c r="A25" s="232" t="s">
        <v>396</v>
      </c>
      <c r="B25" s="230"/>
      <c r="C25" s="68"/>
      <c r="D25" s="68"/>
      <c r="E25" s="68"/>
      <c r="F25" s="68"/>
      <c r="G25" s="68"/>
      <c r="H25" s="68"/>
    </row>
    <row r="26" spans="1:8" ht="12.75">
      <c r="A26" s="232" t="s">
        <v>397</v>
      </c>
      <c r="B26" s="230"/>
      <c r="C26" s="68"/>
      <c r="D26" s="68"/>
      <c r="E26" s="68"/>
      <c r="F26" s="68"/>
      <c r="G26" s="68"/>
      <c r="H26" s="68"/>
    </row>
    <row r="27" spans="1:8" ht="12.75">
      <c r="A27" s="232" t="s">
        <v>398</v>
      </c>
      <c r="B27" s="230"/>
      <c r="C27" s="68"/>
      <c r="D27" s="68"/>
      <c r="E27" s="68"/>
      <c r="F27" s="68"/>
      <c r="G27" s="68"/>
      <c r="H27" s="68"/>
    </row>
    <row r="28" spans="1:8" ht="12.75">
      <c r="A28" s="479" t="s">
        <v>57</v>
      </c>
      <c r="B28" s="480"/>
      <c r="C28" s="235">
        <f aca="true" t="shared" si="1" ref="C28:H28">SUM(C20:C27)</f>
        <v>0</v>
      </c>
      <c r="D28" s="235">
        <f t="shared" si="1"/>
        <v>0</v>
      </c>
      <c r="E28" s="235">
        <f t="shared" si="1"/>
        <v>0</v>
      </c>
      <c r="F28" s="235">
        <f t="shared" si="1"/>
        <v>0</v>
      </c>
      <c r="G28" s="235">
        <f t="shared" si="1"/>
        <v>0</v>
      </c>
      <c r="H28" s="235">
        <f t="shared" si="1"/>
        <v>0</v>
      </c>
    </row>
    <row r="29" spans="1:8" ht="13.5" thickBot="1">
      <c r="A29" s="481" t="s">
        <v>399</v>
      </c>
      <c r="B29" s="481"/>
      <c r="C29" s="236">
        <f aca="true" t="shared" si="2" ref="C29:H29">+C18+C28</f>
        <v>0</v>
      </c>
      <c r="D29" s="236">
        <f t="shared" si="2"/>
        <v>0</v>
      </c>
      <c r="E29" s="236">
        <f t="shared" si="2"/>
        <v>0</v>
      </c>
      <c r="F29" s="236">
        <f t="shared" si="2"/>
        <v>0</v>
      </c>
      <c r="G29" s="236">
        <f t="shared" si="2"/>
        <v>0</v>
      </c>
      <c r="H29" s="236">
        <f t="shared" si="2"/>
        <v>0</v>
      </c>
    </row>
    <row r="30" spans="1:8" ht="13.5" thickTop="1">
      <c r="A30" s="237"/>
      <c r="B30" s="237"/>
      <c r="C30" s="238"/>
      <c r="D30" s="238"/>
      <c r="E30" s="238"/>
      <c r="F30" s="238"/>
      <c r="G30" s="238"/>
      <c r="H30" s="238"/>
    </row>
    <row r="31" spans="1:8" ht="13.5" thickBot="1">
      <c r="A31" s="239" t="s">
        <v>119</v>
      </c>
      <c r="B31" s="240">
        <v>0.21</v>
      </c>
      <c r="C31" s="236">
        <f aca="true" t="shared" si="3" ref="C31:H31">+$B$31*(C22+C24+C25+C26+C27)</f>
        <v>0</v>
      </c>
      <c r="D31" s="236">
        <f t="shared" si="3"/>
        <v>0</v>
      </c>
      <c r="E31" s="236">
        <f t="shared" si="3"/>
        <v>0</v>
      </c>
      <c r="F31" s="236">
        <f t="shared" si="3"/>
        <v>0</v>
      </c>
      <c r="G31" s="236">
        <f t="shared" si="3"/>
        <v>0</v>
      </c>
      <c r="H31" s="236">
        <f t="shared" si="3"/>
        <v>0</v>
      </c>
    </row>
    <row r="32" spans="1:8" ht="13.5" thickTop="1">
      <c r="A32" s="241"/>
      <c r="B32" s="242"/>
      <c r="C32" s="243"/>
      <c r="D32" s="243"/>
      <c r="E32" s="243"/>
      <c r="F32" s="243"/>
      <c r="G32" s="243"/>
      <c r="H32" s="243"/>
    </row>
    <row r="33" spans="1:8" ht="12.75">
      <c r="A33" s="482" t="s">
        <v>160</v>
      </c>
      <c r="B33" s="482"/>
      <c r="C33" s="228">
        <f aca="true" t="shared" si="4" ref="C33:H33">+C11</f>
        <v>2007</v>
      </c>
      <c r="D33" s="228">
        <f t="shared" si="4"/>
        <v>2008</v>
      </c>
      <c r="E33" s="228">
        <f t="shared" si="4"/>
        <v>2009</v>
      </c>
      <c r="F33" s="228">
        <f t="shared" si="4"/>
        <v>2010</v>
      </c>
      <c r="G33" s="228">
        <f t="shared" si="4"/>
        <v>2011</v>
      </c>
      <c r="H33" s="228">
        <f t="shared" si="4"/>
        <v>2012</v>
      </c>
    </row>
    <row r="34" spans="1:8" ht="12.75">
      <c r="A34" s="229" t="s">
        <v>44</v>
      </c>
      <c r="B34" s="230"/>
      <c r="C34" s="231"/>
      <c r="D34" s="231"/>
      <c r="E34" s="231"/>
      <c r="F34" s="231"/>
      <c r="G34" s="231"/>
      <c r="H34" s="231"/>
    </row>
    <row r="35" spans="1:8" ht="12.75">
      <c r="A35" s="232" t="s">
        <v>52</v>
      </c>
      <c r="B35" s="230"/>
      <c r="C35" s="244">
        <f>+C13</f>
        <v>0</v>
      </c>
      <c r="D35" s="244">
        <f aca="true" t="shared" si="5" ref="D35:H39">+C35+D13</f>
        <v>0</v>
      </c>
      <c r="E35" s="244">
        <f t="shared" si="5"/>
        <v>0</v>
      </c>
      <c r="F35" s="244">
        <f t="shared" si="5"/>
        <v>0</v>
      </c>
      <c r="G35" s="244">
        <f t="shared" si="5"/>
        <v>0</v>
      </c>
      <c r="H35" s="244">
        <f t="shared" si="5"/>
        <v>0</v>
      </c>
    </row>
    <row r="36" spans="1:8" ht="12.75">
      <c r="A36" s="232" t="s">
        <v>53</v>
      </c>
      <c r="B36" s="230"/>
      <c r="C36" s="244">
        <f>+C14</f>
        <v>0</v>
      </c>
      <c r="D36" s="244">
        <f t="shared" si="5"/>
        <v>0</v>
      </c>
      <c r="E36" s="244">
        <f t="shared" si="5"/>
        <v>0</v>
      </c>
      <c r="F36" s="244">
        <f t="shared" si="5"/>
        <v>0</v>
      </c>
      <c r="G36" s="244">
        <f t="shared" si="5"/>
        <v>0</v>
      </c>
      <c r="H36" s="244">
        <f t="shared" si="5"/>
        <v>0</v>
      </c>
    </row>
    <row r="37" spans="1:8" ht="12.75">
      <c r="A37" s="232" t="s">
        <v>54</v>
      </c>
      <c r="B37" s="230"/>
      <c r="C37" s="244">
        <f>+C15</f>
        <v>0</v>
      </c>
      <c r="D37" s="244">
        <f t="shared" si="5"/>
        <v>0</v>
      </c>
      <c r="E37" s="244">
        <f t="shared" si="5"/>
        <v>0</v>
      </c>
      <c r="F37" s="244">
        <f t="shared" si="5"/>
        <v>0</v>
      </c>
      <c r="G37" s="244">
        <f t="shared" si="5"/>
        <v>0</v>
      </c>
      <c r="H37" s="244">
        <f t="shared" si="5"/>
        <v>0</v>
      </c>
    </row>
    <row r="38" spans="1:8" ht="12.75">
      <c r="A38" s="232" t="s">
        <v>55</v>
      </c>
      <c r="B38" s="230"/>
      <c r="C38" s="244">
        <f>+C16</f>
        <v>0</v>
      </c>
      <c r="D38" s="244">
        <f t="shared" si="5"/>
        <v>0</v>
      </c>
      <c r="E38" s="244">
        <f t="shared" si="5"/>
        <v>0</v>
      </c>
      <c r="F38" s="244">
        <f t="shared" si="5"/>
        <v>0</v>
      </c>
      <c r="G38" s="244">
        <f t="shared" si="5"/>
        <v>0</v>
      </c>
      <c r="H38" s="244">
        <f t="shared" si="5"/>
        <v>0</v>
      </c>
    </row>
    <row r="39" spans="1:8" ht="12.75">
      <c r="A39" s="232" t="s">
        <v>400</v>
      </c>
      <c r="B39" s="230"/>
      <c r="C39" s="244">
        <f>+C17</f>
        <v>0</v>
      </c>
      <c r="D39" s="244">
        <f t="shared" si="5"/>
        <v>0</v>
      </c>
      <c r="E39" s="244">
        <f t="shared" si="5"/>
        <v>0</v>
      </c>
      <c r="F39" s="244">
        <f t="shared" si="5"/>
        <v>0</v>
      </c>
      <c r="G39" s="244">
        <f t="shared" si="5"/>
        <v>0</v>
      </c>
      <c r="H39" s="244">
        <f t="shared" si="5"/>
        <v>0</v>
      </c>
    </row>
    <row r="40" spans="1:8" ht="12.75">
      <c r="A40" s="479" t="s">
        <v>56</v>
      </c>
      <c r="B40" s="480"/>
      <c r="C40" s="233">
        <f aca="true" t="shared" si="6" ref="C40:H40">SUM(C35:C39)</f>
        <v>0</v>
      </c>
      <c r="D40" s="233">
        <f t="shared" si="6"/>
        <v>0</v>
      </c>
      <c r="E40" s="233">
        <f t="shared" si="6"/>
        <v>0</v>
      </c>
      <c r="F40" s="233">
        <f t="shared" si="6"/>
        <v>0</v>
      </c>
      <c r="G40" s="233">
        <f t="shared" si="6"/>
        <v>0</v>
      </c>
      <c r="H40" s="233">
        <f t="shared" si="6"/>
        <v>0</v>
      </c>
    </row>
    <row r="41" spans="1:8" ht="12.75">
      <c r="A41" s="229" t="s">
        <v>45</v>
      </c>
      <c r="B41" s="230"/>
      <c r="C41" s="234"/>
      <c r="D41" s="234"/>
      <c r="E41" s="234"/>
      <c r="F41" s="234"/>
      <c r="G41" s="234"/>
      <c r="H41" s="234"/>
    </row>
    <row r="42" spans="1:8" ht="12.75">
      <c r="A42" s="232" t="s">
        <v>46</v>
      </c>
      <c r="B42" s="230"/>
      <c r="C42" s="245">
        <f aca="true" t="shared" si="7" ref="C42:C49">+C20</f>
        <v>0</v>
      </c>
      <c r="D42" s="245">
        <f aca="true" t="shared" si="8" ref="D42:H49">+C42+D20</f>
        <v>0</v>
      </c>
      <c r="E42" s="245">
        <f t="shared" si="8"/>
        <v>0</v>
      </c>
      <c r="F42" s="245">
        <f t="shared" si="8"/>
        <v>0</v>
      </c>
      <c r="G42" s="245">
        <f t="shared" si="8"/>
        <v>0</v>
      </c>
      <c r="H42" s="245">
        <f t="shared" si="8"/>
        <v>0</v>
      </c>
    </row>
    <row r="43" spans="1:8" ht="12.75">
      <c r="A43" s="232" t="s">
        <v>392</v>
      </c>
      <c r="B43" s="230"/>
      <c r="C43" s="245">
        <f t="shared" si="7"/>
        <v>0</v>
      </c>
      <c r="D43" s="245">
        <f t="shared" si="8"/>
        <v>0</v>
      </c>
      <c r="E43" s="245">
        <f t="shared" si="8"/>
        <v>0</v>
      </c>
      <c r="F43" s="245">
        <f t="shared" si="8"/>
        <v>0</v>
      </c>
      <c r="G43" s="245">
        <f t="shared" si="8"/>
        <v>0</v>
      </c>
      <c r="H43" s="245">
        <f t="shared" si="8"/>
        <v>0</v>
      </c>
    </row>
    <row r="44" spans="1:8" ht="12.75">
      <c r="A44" s="232" t="s">
        <v>47</v>
      </c>
      <c r="B44" s="230"/>
      <c r="C44" s="245">
        <f t="shared" si="7"/>
        <v>0</v>
      </c>
      <c r="D44" s="245">
        <f t="shared" si="8"/>
        <v>0</v>
      </c>
      <c r="E44" s="245">
        <f t="shared" si="8"/>
        <v>0</v>
      </c>
      <c r="F44" s="245">
        <f t="shared" si="8"/>
        <v>0</v>
      </c>
      <c r="G44" s="245">
        <f t="shared" si="8"/>
        <v>0</v>
      </c>
      <c r="H44" s="245">
        <f t="shared" si="8"/>
        <v>0</v>
      </c>
    </row>
    <row r="45" spans="1:8" ht="12.75">
      <c r="A45" s="232" t="s">
        <v>48</v>
      </c>
      <c r="B45" s="230"/>
      <c r="C45" s="245">
        <f t="shared" si="7"/>
        <v>0</v>
      </c>
      <c r="D45" s="245">
        <f t="shared" si="8"/>
        <v>0</v>
      </c>
      <c r="E45" s="245">
        <f t="shared" si="8"/>
        <v>0</v>
      </c>
      <c r="F45" s="245">
        <f t="shared" si="8"/>
        <v>0</v>
      </c>
      <c r="G45" s="245">
        <f t="shared" si="8"/>
        <v>0</v>
      </c>
      <c r="H45" s="245">
        <f t="shared" si="8"/>
        <v>0</v>
      </c>
    </row>
    <row r="46" spans="1:8" ht="12.75">
      <c r="A46" s="232" t="s">
        <v>401</v>
      </c>
      <c r="B46" s="230"/>
      <c r="C46" s="245">
        <f t="shared" si="7"/>
        <v>0</v>
      </c>
      <c r="D46" s="245">
        <f t="shared" si="8"/>
        <v>0</v>
      </c>
      <c r="E46" s="245">
        <f t="shared" si="8"/>
        <v>0</v>
      </c>
      <c r="F46" s="245">
        <f t="shared" si="8"/>
        <v>0</v>
      </c>
      <c r="G46" s="245">
        <f t="shared" si="8"/>
        <v>0</v>
      </c>
      <c r="H46" s="245">
        <f t="shared" si="8"/>
        <v>0</v>
      </c>
    </row>
    <row r="47" spans="1:8" ht="12.75">
      <c r="A47" s="232" t="s">
        <v>49</v>
      </c>
      <c r="B47" s="230"/>
      <c r="C47" s="245">
        <f t="shared" si="7"/>
        <v>0</v>
      </c>
      <c r="D47" s="245">
        <f t="shared" si="8"/>
        <v>0</v>
      </c>
      <c r="E47" s="245">
        <f t="shared" si="8"/>
        <v>0</v>
      </c>
      <c r="F47" s="245">
        <f t="shared" si="8"/>
        <v>0</v>
      </c>
      <c r="G47" s="245">
        <f t="shared" si="8"/>
        <v>0</v>
      </c>
      <c r="H47" s="245">
        <f t="shared" si="8"/>
        <v>0</v>
      </c>
    </row>
    <row r="48" spans="1:8" ht="12.75">
      <c r="A48" s="232" t="s">
        <v>50</v>
      </c>
      <c r="B48" s="230"/>
      <c r="C48" s="245">
        <f t="shared" si="7"/>
        <v>0</v>
      </c>
      <c r="D48" s="245">
        <f t="shared" si="8"/>
        <v>0</v>
      </c>
      <c r="E48" s="245">
        <f t="shared" si="8"/>
        <v>0</v>
      </c>
      <c r="F48" s="245">
        <f t="shared" si="8"/>
        <v>0</v>
      </c>
      <c r="G48" s="245">
        <f t="shared" si="8"/>
        <v>0</v>
      </c>
      <c r="H48" s="245">
        <f t="shared" si="8"/>
        <v>0</v>
      </c>
    </row>
    <row r="49" spans="1:8" ht="12.75">
      <c r="A49" s="232" t="s">
        <v>51</v>
      </c>
      <c r="B49" s="230"/>
      <c r="C49" s="245">
        <f t="shared" si="7"/>
        <v>0</v>
      </c>
      <c r="D49" s="245">
        <f t="shared" si="8"/>
        <v>0</v>
      </c>
      <c r="E49" s="245">
        <f t="shared" si="8"/>
        <v>0</v>
      </c>
      <c r="F49" s="245">
        <f t="shared" si="8"/>
        <v>0</v>
      </c>
      <c r="G49" s="245">
        <f t="shared" si="8"/>
        <v>0</v>
      </c>
      <c r="H49" s="245">
        <f t="shared" si="8"/>
        <v>0</v>
      </c>
    </row>
    <row r="50" spans="1:8" ht="12.75">
      <c r="A50" s="479" t="s">
        <v>57</v>
      </c>
      <c r="B50" s="480"/>
      <c r="C50" s="235">
        <f aca="true" t="shared" si="9" ref="C50:H50">SUM(C42:C49)</f>
        <v>0</v>
      </c>
      <c r="D50" s="235">
        <f t="shared" si="9"/>
        <v>0</v>
      </c>
      <c r="E50" s="235">
        <f t="shared" si="9"/>
        <v>0</v>
      </c>
      <c r="F50" s="235">
        <f t="shared" si="9"/>
        <v>0</v>
      </c>
      <c r="G50" s="235">
        <f t="shared" si="9"/>
        <v>0</v>
      </c>
      <c r="H50" s="235">
        <f t="shared" si="9"/>
        <v>0</v>
      </c>
    </row>
    <row r="51" spans="1:8" ht="13.5" thickBot="1">
      <c r="A51" s="481" t="s">
        <v>402</v>
      </c>
      <c r="B51" s="481"/>
      <c r="C51" s="236">
        <f aca="true" t="shared" si="10" ref="C51:H51">+C40+C50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</row>
    <row r="52" spans="1:8" ht="13.5" thickTop="1">
      <c r="A52" s="242"/>
      <c r="B52" s="242"/>
      <c r="C52" s="243"/>
      <c r="D52" s="243"/>
      <c r="E52" s="243"/>
      <c r="F52" s="243"/>
      <c r="G52" s="243"/>
      <c r="H52" s="243"/>
    </row>
    <row r="53" spans="1:8" ht="12.75">
      <c r="A53" s="242"/>
      <c r="B53" s="242"/>
      <c r="C53" s="243"/>
      <c r="D53" s="243"/>
      <c r="E53" s="243"/>
      <c r="F53" s="243"/>
      <c r="G53" s="243"/>
      <c r="H53" s="243"/>
    </row>
    <row r="54" spans="1:8" ht="12.75">
      <c r="A54" s="246" t="s">
        <v>88</v>
      </c>
      <c r="B54" s="247" t="s">
        <v>30</v>
      </c>
      <c r="C54" s="228">
        <f aca="true" t="shared" si="11" ref="C54:H54">C33</f>
        <v>2007</v>
      </c>
      <c r="D54" s="228">
        <f t="shared" si="11"/>
        <v>2008</v>
      </c>
      <c r="E54" s="228">
        <f t="shared" si="11"/>
        <v>2009</v>
      </c>
      <c r="F54" s="228">
        <f t="shared" si="11"/>
        <v>2010</v>
      </c>
      <c r="G54" s="228">
        <f t="shared" si="11"/>
        <v>2011</v>
      </c>
      <c r="H54" s="228">
        <f t="shared" si="11"/>
        <v>2012</v>
      </c>
    </row>
    <row r="55" spans="1:8" ht="12.75" hidden="1">
      <c r="A55" s="248" t="s">
        <v>44</v>
      </c>
      <c r="B55" s="249"/>
      <c r="C55" s="250"/>
      <c r="D55" s="250"/>
      <c r="E55" s="250"/>
      <c r="F55" s="250"/>
      <c r="G55" s="250"/>
      <c r="H55" s="250"/>
    </row>
    <row r="56" spans="1:8" ht="12.75" hidden="1">
      <c r="A56" s="251" t="s">
        <v>52</v>
      </c>
      <c r="B56" s="252">
        <f>IF($B$8="S",100%/3,100%/3/2)</f>
        <v>0.3333333333333333</v>
      </c>
      <c r="C56" s="253">
        <f aca="true" t="shared" si="12" ref="C56:H56">SUM(C57:C62)</f>
        <v>0</v>
      </c>
      <c r="D56" s="253">
        <f t="shared" si="12"/>
        <v>0</v>
      </c>
      <c r="E56" s="253">
        <f t="shared" si="12"/>
        <v>0</v>
      </c>
      <c r="F56" s="253">
        <f t="shared" si="12"/>
        <v>0</v>
      </c>
      <c r="G56" s="253">
        <f t="shared" si="12"/>
        <v>0</v>
      </c>
      <c r="H56" s="253">
        <f t="shared" si="12"/>
        <v>0</v>
      </c>
    </row>
    <row r="57" spans="1:8" ht="12.75" hidden="1">
      <c r="A57" s="254">
        <f>C54</f>
        <v>2007</v>
      </c>
      <c r="B57" s="252"/>
      <c r="C57" s="253">
        <f>+IF(C$13&lt;0,0,C$13*$B$56)</f>
        <v>0</v>
      </c>
      <c r="D57" s="253">
        <f>+IF(C57=0,0,+IF(ROUNDUP(SUM($C57:C57),0)&lt;$C$13,$C$13*$B$56,0))</f>
        <v>0</v>
      </c>
      <c r="E57" s="253">
        <f>+IF(D57=0,0,+IF(ROUNDUP(SUM($C57:D57),0)&lt;$C$13,$C$13*$B$56,0))</f>
        <v>0</v>
      </c>
      <c r="F57" s="253">
        <f>+IF(E57=0,0,+IF(ROUNDUP(SUM($C57:E57),0)&lt;$C$13,$C$13*$B$56,0))</f>
        <v>0</v>
      </c>
      <c r="G57" s="253">
        <f>+IF(F57=0,0,+IF(ROUNDUP(SUM($C57:F57),0)&lt;$C$13,$C$13*$B$56,0))</f>
        <v>0</v>
      </c>
      <c r="H57" s="253">
        <f>+IF(G57=0,0,+IF(ROUNDUP(SUM($C57:G57),0)&lt;$C$13,$C$13*$B$56,0))</f>
        <v>0</v>
      </c>
    </row>
    <row r="58" spans="1:8" ht="12.75" hidden="1">
      <c r="A58" s="254">
        <f>A57+1</f>
        <v>2008</v>
      </c>
      <c r="B58" s="252"/>
      <c r="C58" s="253"/>
      <c r="D58" s="253">
        <f>+IF(D$13&lt;0,0,D$13*$B$56)</f>
        <v>0</v>
      </c>
      <c r="E58" s="253">
        <f>+IF(D58=0,0,+IF(ROUNDUP(SUM($D58:D58),0)&lt;$D$13,$D$13*$B$56,0))</f>
        <v>0</v>
      </c>
      <c r="F58" s="253">
        <f>+IF(E58=0,0,+IF(ROUNDUP(SUM($D58:E58),0)&lt;$D$13,$D$13*$B$56,0))</f>
        <v>0</v>
      </c>
      <c r="G58" s="253">
        <f>+IF(F58=0,0,+IF(ROUNDUP(SUM($D58:F58),0)&lt;$D$13,$D$13*$B$56,0))</f>
        <v>0</v>
      </c>
      <c r="H58" s="253">
        <f>+IF(G58=0,0,+IF(ROUNDUP(SUM($D58:G58),0)&lt;$D$13,$D$13*$B$56,0))</f>
        <v>0</v>
      </c>
    </row>
    <row r="59" spans="1:8" ht="12.75" hidden="1">
      <c r="A59" s="254">
        <f>A58+1</f>
        <v>2009</v>
      </c>
      <c r="B59" s="252"/>
      <c r="C59" s="253"/>
      <c r="D59" s="253"/>
      <c r="E59" s="253">
        <f>+IF(E$13&lt;0,0,E$13*$B$56)</f>
        <v>0</v>
      </c>
      <c r="F59" s="253">
        <f>+IF(E59=0,0,+IF(ROUNDUP(SUM($E59:E59),0)&lt;$E$13,$E$13*$B$56,0))</f>
        <v>0</v>
      </c>
      <c r="G59" s="253">
        <f>+IF(F59=0,0,+IF(ROUNDUP(SUM($E59:F59),0)&lt;$E$13,$E$13*$B$56,0))</f>
        <v>0</v>
      </c>
      <c r="H59" s="253">
        <f>+IF(G59=0,0,+IF(ROUNDUP(SUM($E59:G59),0)&lt;$E$13,$E$13*$B$56,0))</f>
        <v>0</v>
      </c>
    </row>
    <row r="60" spans="1:8" ht="12.75" hidden="1">
      <c r="A60" s="254">
        <f>A59+1</f>
        <v>2010</v>
      </c>
      <c r="B60" s="252"/>
      <c r="C60" s="253"/>
      <c r="D60" s="253"/>
      <c r="E60" s="253"/>
      <c r="F60" s="253">
        <f>+IF(F$13&lt;0,0,F$13*$B$56)</f>
        <v>0</v>
      </c>
      <c r="G60" s="253">
        <f>+IF(F60=0,0,+IF(ROUNDUP(SUM($F60:F60),0)&lt;$F$13,$F$13*$B$56,0))</f>
        <v>0</v>
      </c>
      <c r="H60" s="253">
        <f>+IF(G60=0,0,+IF(ROUNDUP(SUM($F60:G60),0)&lt;$F$13,$F$13*$B$56,0))</f>
        <v>0</v>
      </c>
    </row>
    <row r="61" spans="1:8" ht="12.75" hidden="1">
      <c r="A61" s="254">
        <f>A60+1</f>
        <v>2011</v>
      </c>
      <c r="B61" s="252"/>
      <c r="C61" s="253"/>
      <c r="D61" s="253"/>
      <c r="E61" s="253"/>
      <c r="F61" s="253"/>
      <c r="G61" s="253">
        <f>+IF(G$13&lt;0,0,G$13*$B$56)</f>
        <v>0</v>
      </c>
      <c r="H61" s="253">
        <f>+IF(G61=0,0,+IF(ROUNDUP(SUM($G61:G61),0)&lt;$G$13,$G$13*$B$56,0))</f>
        <v>0</v>
      </c>
    </row>
    <row r="62" spans="1:8" ht="12.75" hidden="1">
      <c r="A62" s="254">
        <f>A61+1</f>
        <v>2012</v>
      </c>
      <c r="B62" s="252"/>
      <c r="C62" s="253"/>
      <c r="D62" s="253"/>
      <c r="E62" s="253"/>
      <c r="F62" s="253"/>
      <c r="G62" s="253"/>
      <c r="H62" s="253">
        <f>+IF(H$13&lt;0,0,H$13*$B$56)</f>
        <v>0</v>
      </c>
    </row>
    <row r="63" spans="1:8" ht="12.75" hidden="1">
      <c r="A63" s="251" t="s">
        <v>53</v>
      </c>
      <c r="B63" s="252">
        <f>IF($B$8="S",100%/3,100%/3/2)</f>
        <v>0.3333333333333333</v>
      </c>
      <c r="C63" s="253">
        <f aca="true" t="shared" si="13" ref="C63:H63">SUM(C64:C69)</f>
        <v>0</v>
      </c>
      <c r="D63" s="253">
        <f t="shared" si="13"/>
        <v>0</v>
      </c>
      <c r="E63" s="253">
        <f t="shared" si="13"/>
        <v>0</v>
      </c>
      <c r="F63" s="253">
        <f t="shared" si="13"/>
        <v>0</v>
      </c>
      <c r="G63" s="253">
        <f t="shared" si="13"/>
        <v>0</v>
      </c>
      <c r="H63" s="253">
        <f t="shared" si="13"/>
        <v>0</v>
      </c>
    </row>
    <row r="64" spans="1:8" ht="12.75" hidden="1">
      <c r="A64" s="254">
        <f aca="true" t="shared" si="14" ref="A64:A69">A57</f>
        <v>2007</v>
      </c>
      <c r="B64" s="252"/>
      <c r="C64" s="253">
        <f>+IF(C$14&lt;0,0,C$14*$B$63)</f>
        <v>0</v>
      </c>
      <c r="D64" s="253">
        <f>+IF(C64=0,0,+IF(ROUNDUP(SUM($C64:C64),0)&lt;$C$14,$C$14*$B$63,0))</f>
        <v>0</v>
      </c>
      <c r="E64" s="253">
        <f>+IF(D64=0,0,+IF(ROUNDUP(SUM($C64:D64),0)&lt;$C$14,$C$14*$B$63,0))</f>
        <v>0</v>
      </c>
      <c r="F64" s="253">
        <f>+IF(E64=0,0,+IF(ROUNDUP(SUM($C64:E64),0)&lt;$C$14,$C$14*$B$63,0))</f>
        <v>0</v>
      </c>
      <c r="G64" s="253">
        <f>+IF(F64=0,0,+IF(ROUNDUP(SUM($C64:F64),0)&lt;$C$14,$C$14*$B$63,0))</f>
        <v>0</v>
      </c>
      <c r="H64" s="253">
        <f>+IF(G64=0,0,+IF(ROUNDUP(SUM($C64:G64),0)&lt;$C$14,$C$14*$B$63,0))</f>
        <v>0</v>
      </c>
    </row>
    <row r="65" spans="1:8" ht="12.75" hidden="1">
      <c r="A65" s="254">
        <f t="shared" si="14"/>
        <v>2008</v>
      </c>
      <c r="B65" s="252"/>
      <c r="C65" s="253"/>
      <c r="D65" s="253">
        <f>+IF(D$14&lt;0,0,D$14*$B$63)</f>
        <v>0</v>
      </c>
      <c r="E65" s="253">
        <f>+IF(D65=0,0,+IF(ROUNDUP(SUM($D65:D65),0)&lt;$D$14,$D$14*$B$63,0))</f>
        <v>0</v>
      </c>
      <c r="F65" s="253">
        <f>+IF(E65=0,0,+IF(ROUNDUP(SUM($D65:E65),0)&lt;$D$14,$D$14*$B$63,0))</f>
        <v>0</v>
      </c>
      <c r="G65" s="253">
        <f>+IF(F65=0,0,+IF(ROUNDUP(SUM($D65:F65),0)&lt;$D$14,$D$14*$B$63,0))</f>
        <v>0</v>
      </c>
      <c r="H65" s="253">
        <f>+IF(G65=0,0,+IF(ROUNDUP(SUM($D65:G65),0)&lt;$D$14,$D$14*$B$63,0))</f>
        <v>0</v>
      </c>
    </row>
    <row r="66" spans="1:8" ht="12.75" hidden="1">
      <c r="A66" s="254">
        <f t="shared" si="14"/>
        <v>2009</v>
      </c>
      <c r="B66" s="252"/>
      <c r="C66" s="253"/>
      <c r="D66" s="253"/>
      <c r="E66" s="253">
        <f>+IF(E$14&lt;0,0,E$14*$B$63)</f>
        <v>0</v>
      </c>
      <c r="F66" s="253">
        <f>+IF(E66=0,0,+IF(ROUNDUP(SUM($E66:E66),0)&lt;$E$14,$E$14*$B$63,0))</f>
        <v>0</v>
      </c>
      <c r="G66" s="253">
        <f>+IF(F66=0,0,+IF(ROUNDUP(SUM($E66:F66),0)&lt;$E$14,$E$14*$B$63,0))</f>
        <v>0</v>
      </c>
      <c r="H66" s="253">
        <f>+IF(G66=0,0,+IF(ROUNDUP(SUM($E66:G66),0)&lt;$E$14,$E$14*$B$63,0))</f>
        <v>0</v>
      </c>
    </row>
    <row r="67" spans="1:8" ht="12.75" hidden="1">
      <c r="A67" s="254">
        <f t="shared" si="14"/>
        <v>2010</v>
      </c>
      <c r="B67" s="252"/>
      <c r="C67" s="253"/>
      <c r="D67" s="253"/>
      <c r="E67" s="253"/>
      <c r="F67" s="253">
        <f>+IF(F$14&lt;0,0,F$14*$B$63)</f>
        <v>0</v>
      </c>
      <c r="G67" s="253">
        <f>+IF(F67=0,0,+IF(ROUNDUP(SUM($F67:F67),0)&lt;$F$14,$F$14*$B$63,0))</f>
        <v>0</v>
      </c>
      <c r="H67" s="253">
        <f>+IF(G67=0,0,+IF(ROUNDUP(SUM($F67:G67),0)&lt;$F$14,$F$14*$B$63,0))</f>
        <v>0</v>
      </c>
    </row>
    <row r="68" spans="1:8" ht="12.75" hidden="1">
      <c r="A68" s="254">
        <f t="shared" si="14"/>
        <v>2011</v>
      </c>
      <c r="B68" s="252"/>
      <c r="C68" s="253"/>
      <c r="D68" s="253"/>
      <c r="E68" s="253"/>
      <c r="F68" s="253"/>
      <c r="G68" s="253">
        <f>+IF(G$14&lt;0,0,G$14*$B$63)</f>
        <v>0</v>
      </c>
      <c r="H68" s="253">
        <f>+IF(G68=0,0,+IF(ROUNDUP(SUM($G68:G68),0)&lt;$G$14,$G$14*$B$63,0))</f>
        <v>0</v>
      </c>
    </row>
    <row r="69" spans="1:8" ht="12.75" hidden="1">
      <c r="A69" s="254">
        <f t="shared" si="14"/>
        <v>2012</v>
      </c>
      <c r="B69" s="252"/>
      <c r="C69" s="253"/>
      <c r="D69" s="253"/>
      <c r="E69" s="253"/>
      <c r="F69" s="253"/>
      <c r="G69" s="253"/>
      <c r="H69" s="253">
        <f>+IF(H$14&lt;0,0,H$14*$B$63)</f>
        <v>0</v>
      </c>
    </row>
    <row r="70" spans="1:8" ht="12.75" hidden="1">
      <c r="A70" s="251" t="s">
        <v>54</v>
      </c>
      <c r="B70" s="252">
        <f>IF($B$8="S",100%/3,100%/3/2)</f>
        <v>0.3333333333333333</v>
      </c>
      <c r="C70" s="253">
        <f aca="true" t="shared" si="15" ref="C70:H70">SUM(C71:C76)</f>
        <v>0</v>
      </c>
      <c r="D70" s="253">
        <f t="shared" si="15"/>
        <v>0</v>
      </c>
      <c r="E70" s="253">
        <f t="shared" si="15"/>
        <v>0</v>
      </c>
      <c r="F70" s="253">
        <f t="shared" si="15"/>
        <v>0</v>
      </c>
      <c r="G70" s="253">
        <f t="shared" si="15"/>
        <v>0</v>
      </c>
      <c r="H70" s="253">
        <f t="shared" si="15"/>
        <v>0</v>
      </c>
    </row>
    <row r="71" spans="1:8" ht="12.75" hidden="1">
      <c r="A71" s="254">
        <f aca="true" t="shared" si="16" ref="A71:A76">A64</f>
        <v>2007</v>
      </c>
      <c r="B71" s="252"/>
      <c r="C71" s="253">
        <f>+IF(C$15&lt;0,0,C$15*$B$70)</f>
        <v>0</v>
      </c>
      <c r="D71" s="253">
        <f>+IF(C71=0,0,+IF(ROUNDUP(SUM($C71:C71),0)&lt;$C$15,$C$15*$B$70,0))</f>
        <v>0</v>
      </c>
      <c r="E71" s="253">
        <f>+IF(D71=0,0,+IF(ROUNDUP(SUM($C71:D71),0)&lt;$C$15,$C$15*$B$70,0))</f>
        <v>0</v>
      </c>
      <c r="F71" s="253">
        <f>+IF(E71=0,0,+IF(ROUNDUP(SUM($C71:E71),0)&lt;$C$15,$C$15*$B$70,0))</f>
        <v>0</v>
      </c>
      <c r="G71" s="253">
        <f>+IF(F71=0,0,+IF(ROUNDUP(SUM($C71:F71),0)&lt;$C$15,$C$15*$B$70,0))</f>
        <v>0</v>
      </c>
      <c r="H71" s="253">
        <f>+IF(G71=0,0,+IF(ROUNDUP(SUM($C71:G71),0)&lt;$C$15,$C$15*$B$70,0))</f>
        <v>0</v>
      </c>
    </row>
    <row r="72" spans="1:8" ht="12.75" hidden="1">
      <c r="A72" s="254">
        <f t="shared" si="16"/>
        <v>2008</v>
      </c>
      <c r="B72" s="252"/>
      <c r="C72" s="253"/>
      <c r="D72" s="253">
        <f>+IF(D$15&lt;0,0,D$15*$B$70)</f>
        <v>0</v>
      </c>
      <c r="E72" s="253">
        <f>+IF(D72=0,0,+IF(ROUNDUP(SUM($D72:D72),0)&lt;$D$15,$D$15*$B$70,0))</f>
        <v>0</v>
      </c>
      <c r="F72" s="253">
        <f>+IF(E72=0,0,+IF(ROUNDUP(SUM($D72:E72),0)&lt;$D$15,$D$15*$B$70,0))</f>
        <v>0</v>
      </c>
      <c r="G72" s="253">
        <f>+IF(F72=0,0,+IF(ROUNDUP(SUM($D72:F72),0)&lt;$D$15,$D$15*$B$70,0))</f>
        <v>0</v>
      </c>
      <c r="H72" s="253">
        <f>+IF(G72=0,0,+IF(ROUNDUP(SUM($D72:G72),0)&lt;$D$15,$D$15*$B$70,0))</f>
        <v>0</v>
      </c>
    </row>
    <row r="73" spans="1:8" ht="12.75" hidden="1">
      <c r="A73" s="254">
        <f t="shared" si="16"/>
        <v>2009</v>
      </c>
      <c r="B73" s="252"/>
      <c r="C73" s="253"/>
      <c r="D73" s="253"/>
      <c r="E73" s="253">
        <f>+IF(E$15&lt;0,0,E$15*$B$70)</f>
        <v>0</v>
      </c>
      <c r="F73" s="253">
        <f>+IF(E73=0,0,+IF(ROUNDUP(SUM($E73:E73),0)&lt;$E$15,$E$15*$B$70,0))</f>
        <v>0</v>
      </c>
      <c r="G73" s="253">
        <f>+IF(F73=0,0,+IF(ROUNDUP(SUM($E73:F73),0)&lt;$E$15,$E$15*$B$70,0))</f>
        <v>0</v>
      </c>
      <c r="H73" s="253">
        <f>+IF(G73=0,0,+IF(ROUNDUP(SUM($E73:G73),0)&lt;$E$15,$E$15*$B$70,0))</f>
        <v>0</v>
      </c>
    </row>
    <row r="74" spans="1:8" ht="12.75" hidden="1">
      <c r="A74" s="254">
        <f t="shared" si="16"/>
        <v>2010</v>
      </c>
      <c r="B74" s="252"/>
      <c r="C74" s="253"/>
      <c r="D74" s="253"/>
      <c r="E74" s="253"/>
      <c r="F74" s="253">
        <f>+IF(F$15&lt;0,0,F$15*$B$70)</f>
        <v>0</v>
      </c>
      <c r="G74" s="253">
        <f>+IF(F74=0,0,+IF(ROUNDUP(SUM($F74:F74),0)&lt;$F$15,$F$15*$B$70,0))</f>
        <v>0</v>
      </c>
      <c r="H74" s="253">
        <f>+IF(G74=0,0,+IF(ROUNDUP(SUM($F74:G74),0)&lt;$F$15,$F$15*$B$70,0))</f>
        <v>0</v>
      </c>
    </row>
    <row r="75" spans="1:8" ht="12.75" hidden="1">
      <c r="A75" s="254">
        <f t="shared" si="16"/>
        <v>2011</v>
      </c>
      <c r="B75" s="252"/>
      <c r="C75" s="253"/>
      <c r="D75" s="253"/>
      <c r="E75" s="253"/>
      <c r="F75" s="253"/>
      <c r="G75" s="253">
        <f>+IF(G$15&lt;0,0,G$15*$B$70)</f>
        <v>0</v>
      </c>
      <c r="H75" s="253">
        <f>+IF(G75=0,0,+IF(ROUNDUP(SUM($G75:G75),0)&lt;$G$15,$G$15*$B$70,0))</f>
        <v>0</v>
      </c>
    </row>
    <row r="76" spans="1:8" ht="12.75" hidden="1">
      <c r="A76" s="254">
        <f t="shared" si="16"/>
        <v>2012</v>
      </c>
      <c r="B76" s="252"/>
      <c r="C76" s="253"/>
      <c r="D76" s="253"/>
      <c r="E76" s="253"/>
      <c r="F76" s="253"/>
      <c r="G76" s="253"/>
      <c r="H76" s="253">
        <f>+IF(H$15&lt;0,0,H$15*$B$70)</f>
        <v>0</v>
      </c>
    </row>
    <row r="77" spans="1:8" ht="12.75" hidden="1">
      <c r="A77" s="251" t="s">
        <v>55</v>
      </c>
      <c r="B77" s="252"/>
      <c r="C77" s="253"/>
      <c r="D77" s="253"/>
      <c r="E77" s="253"/>
      <c r="F77" s="253"/>
      <c r="G77" s="253"/>
      <c r="H77" s="253"/>
    </row>
    <row r="78" spans="1:8" ht="12.75" hidden="1">
      <c r="A78" s="255" t="s">
        <v>400</v>
      </c>
      <c r="B78" s="252">
        <f>IF($B$8="S",100%/3,100%/3/2)</f>
        <v>0.3333333333333333</v>
      </c>
      <c r="C78" s="253">
        <f aca="true" t="shared" si="17" ref="C78:H78">SUM(C79:C84)</f>
        <v>0</v>
      </c>
      <c r="D78" s="253">
        <f t="shared" si="17"/>
        <v>0</v>
      </c>
      <c r="E78" s="253">
        <f t="shared" si="17"/>
        <v>0</v>
      </c>
      <c r="F78" s="253">
        <f t="shared" si="17"/>
        <v>0</v>
      </c>
      <c r="G78" s="253">
        <f t="shared" si="17"/>
        <v>0</v>
      </c>
      <c r="H78" s="253">
        <f t="shared" si="17"/>
        <v>0</v>
      </c>
    </row>
    <row r="79" spans="1:8" ht="12.75" hidden="1">
      <c r="A79" s="254">
        <f aca="true" t="shared" si="18" ref="A79:A84">A71</f>
        <v>2007</v>
      </c>
      <c r="B79" s="252"/>
      <c r="C79" s="253">
        <f>+IF(C$17&lt;0,0,C$17*$B$78)</f>
        <v>0</v>
      </c>
      <c r="D79" s="253">
        <f>+IF(C79=0,0,+IF(ROUNDUP(SUM($C79:C79),0)&lt;$C$17,$C$17*$B$78,0))</f>
        <v>0</v>
      </c>
      <c r="E79" s="253">
        <f>+IF(D79=0,0,+IF(ROUNDUP(SUM($C79:D79),0)&lt;$C$17,$C$17*$B$78,0))</f>
        <v>0</v>
      </c>
      <c r="F79" s="253">
        <f>+IF(E79=0,0,+IF(ROUNDUP(SUM($C79:E79),0)&lt;$C$17,$C$17*$B$78,0))</f>
        <v>0</v>
      </c>
      <c r="G79" s="253">
        <f>+IF(F79=0,0,+IF(ROUNDUP(SUM($C79:F79),0)&lt;$C$17,$C$17*$B$78,0))</f>
        <v>0</v>
      </c>
      <c r="H79" s="253">
        <f>+IF(G79=0,0,+IF(ROUNDUP(SUM($C79:G79),0)&lt;$C$17,$C$17*$B$78,0))</f>
        <v>0</v>
      </c>
    </row>
    <row r="80" spans="1:8" ht="12.75" hidden="1">
      <c r="A80" s="254">
        <f t="shared" si="18"/>
        <v>2008</v>
      </c>
      <c r="B80" s="252"/>
      <c r="C80" s="253"/>
      <c r="D80" s="253">
        <f>+IF(D$17&lt;0,0,D$17*$B$78)</f>
        <v>0</v>
      </c>
      <c r="E80" s="253">
        <f>+IF(D80=0,0,+IF(ROUNDUP(SUM($D80:D80),0)&lt;$D$17,$D$17*$B$78,0))</f>
        <v>0</v>
      </c>
      <c r="F80" s="253">
        <f>+IF(E80=0,0,+IF(ROUNDUP(SUM($D80:E80),0)&lt;$D$17,$D$17*$B$78,0))</f>
        <v>0</v>
      </c>
      <c r="G80" s="253">
        <f>+IF(F80=0,0,+IF(ROUNDUP(SUM($D80:F80),0)&lt;$D$17,$D$17*$B$78,0))</f>
        <v>0</v>
      </c>
      <c r="H80" s="253">
        <f>+IF(G80=0,0,+IF(ROUNDUP(SUM($D80:G80),0)&lt;$D$17,$D$17*$B$78,0))</f>
        <v>0</v>
      </c>
    </row>
    <row r="81" spans="1:8" ht="12.75" hidden="1">
      <c r="A81" s="254">
        <f t="shared" si="18"/>
        <v>2009</v>
      </c>
      <c r="B81" s="252"/>
      <c r="C81" s="253"/>
      <c r="D81" s="253"/>
      <c r="E81" s="253">
        <f>+IF(E$17&lt;0,0,E$17*$B$78)</f>
        <v>0</v>
      </c>
      <c r="F81" s="253">
        <f>+IF(E81=0,0,+IF(ROUNDUP(SUM($E81:E81),0)&lt;$E$17,$E$17*$B$78,0))</f>
        <v>0</v>
      </c>
      <c r="G81" s="253">
        <f>+IF(F81=0,0,+IF(ROUNDUP(SUM($E81:F81),0)&lt;$E$17,$E$17*$B$78,0))</f>
        <v>0</v>
      </c>
      <c r="H81" s="253">
        <f>+IF(G81=0,0,+IF(ROUNDUP(SUM($E81:G81),0)&lt;$E$17,$E$17*$B$78,0))</f>
        <v>0</v>
      </c>
    </row>
    <row r="82" spans="1:8" ht="12.75" hidden="1">
      <c r="A82" s="254">
        <f t="shared" si="18"/>
        <v>2010</v>
      </c>
      <c r="B82" s="252"/>
      <c r="C82" s="253"/>
      <c r="D82" s="253"/>
      <c r="E82" s="253"/>
      <c r="F82" s="253">
        <f>+IF(F$17&lt;0,0,F$17*$B$78)</f>
        <v>0</v>
      </c>
      <c r="G82" s="253">
        <f>+IF(F82=0,0,+IF(ROUNDUP(SUM($F82:F82),0)&lt;$F$17,$F$17*$B$78,0))</f>
        <v>0</v>
      </c>
      <c r="H82" s="253">
        <f>+IF(G82=0,0,+IF(ROUNDUP(SUM($F82:G82),0)&lt;$F$17,$F$17*$B$78,0))</f>
        <v>0</v>
      </c>
    </row>
    <row r="83" spans="1:8" ht="12.75" hidden="1">
      <c r="A83" s="254">
        <f t="shared" si="18"/>
        <v>2011</v>
      </c>
      <c r="B83" s="252"/>
      <c r="C83" s="253"/>
      <c r="D83" s="253"/>
      <c r="E83" s="253"/>
      <c r="F83" s="253"/>
      <c r="G83" s="253">
        <f>+IF(G$17&lt;0,0,G$17*$B$78)</f>
        <v>0</v>
      </c>
      <c r="H83" s="253">
        <f>+IF(G83=0,0,+IF(ROUNDUP(SUM($G83:G83),0)&lt;$G$17,$G$17*$B$78,0))</f>
        <v>0</v>
      </c>
    </row>
    <row r="84" spans="1:8" ht="12.75" hidden="1">
      <c r="A84" s="254">
        <f t="shared" si="18"/>
        <v>2012</v>
      </c>
      <c r="B84" s="256"/>
      <c r="C84" s="253"/>
      <c r="D84" s="253"/>
      <c r="E84" s="253"/>
      <c r="F84" s="253"/>
      <c r="G84" s="253"/>
      <c r="H84" s="253">
        <f>+IF(H$17&lt;0,0,H$17*$B$78)</f>
        <v>0</v>
      </c>
    </row>
    <row r="85" spans="1:8" ht="12.75" hidden="1">
      <c r="A85" s="477" t="s">
        <v>56</v>
      </c>
      <c r="B85" s="478"/>
      <c r="C85" s="257">
        <f aca="true" t="shared" si="19" ref="C85:H85">C56+C63+C70+C77+C78</f>
        <v>0</v>
      </c>
      <c r="D85" s="257">
        <f t="shared" si="19"/>
        <v>0</v>
      </c>
      <c r="E85" s="257">
        <f t="shared" si="19"/>
        <v>0</v>
      </c>
      <c r="F85" s="257">
        <f t="shared" si="19"/>
        <v>0</v>
      </c>
      <c r="G85" s="257">
        <f t="shared" si="19"/>
        <v>0</v>
      </c>
      <c r="H85" s="257">
        <f t="shared" si="19"/>
        <v>0</v>
      </c>
    </row>
    <row r="86" spans="1:8" ht="12.75" hidden="1">
      <c r="A86" s="258" t="str">
        <f>+A41</f>
        <v>Imobilizado Corpóreo</v>
      </c>
      <c r="B86" s="249"/>
      <c r="C86" s="253"/>
      <c r="D86" s="253"/>
      <c r="E86" s="253"/>
      <c r="F86" s="253"/>
      <c r="G86" s="253"/>
      <c r="H86" s="253"/>
    </row>
    <row r="87" spans="1:8" ht="12.75" hidden="1">
      <c r="A87" s="251" t="str">
        <f>+A42</f>
        <v>   Terrrenos e recursos naturais</v>
      </c>
      <c r="B87" s="252"/>
      <c r="C87" s="253"/>
      <c r="D87" s="253"/>
      <c r="E87" s="253"/>
      <c r="F87" s="253"/>
      <c r="G87" s="253"/>
      <c r="H87" s="253"/>
    </row>
    <row r="88" spans="1:8" ht="12.75" hidden="1">
      <c r="A88" s="251" t="str">
        <f>+A43</f>
        <v>   Edificios e Outras Construções</v>
      </c>
      <c r="B88" s="252">
        <f>IF($B$8="S",2%,2%/2)</f>
        <v>0.02</v>
      </c>
      <c r="C88" s="253">
        <f aca="true" t="shared" si="20" ref="C88:H88">SUM(C89:C94)</f>
        <v>0</v>
      </c>
      <c r="D88" s="253">
        <f t="shared" si="20"/>
        <v>0</v>
      </c>
      <c r="E88" s="253">
        <f t="shared" si="20"/>
        <v>0</v>
      </c>
      <c r="F88" s="253">
        <f t="shared" si="20"/>
        <v>0</v>
      </c>
      <c r="G88" s="253">
        <f t="shared" si="20"/>
        <v>0</v>
      </c>
      <c r="H88" s="253">
        <f t="shared" si="20"/>
        <v>0</v>
      </c>
    </row>
    <row r="89" spans="1:8" ht="12.75" hidden="1">
      <c r="A89" s="254">
        <f aca="true" t="shared" si="21" ref="A89:A94">A79</f>
        <v>2007</v>
      </c>
      <c r="B89" s="252"/>
      <c r="C89" s="253">
        <f>+IF(C$21&lt;0,0,C$21*$B$88)</f>
        <v>0</v>
      </c>
      <c r="D89" s="253">
        <f>+IF(C89=0,0,+IF(ROUNDUP(SUM($C89:C89),0)&lt;$C$21,$C$21*$B$88,0))</f>
        <v>0</v>
      </c>
      <c r="E89" s="253">
        <f>+IF(D89=0,0,+IF(ROUNDUP(SUM($C89:D89),0)&lt;$C$21,$C$21*$B$88,0))</f>
        <v>0</v>
      </c>
      <c r="F89" s="253">
        <f>+IF(E89=0,0,+IF(ROUNDUP(SUM($C89:E89),0)&lt;$C$21,$C$21*$B$88,0))</f>
        <v>0</v>
      </c>
      <c r="G89" s="253">
        <f>+IF(F89=0,0,+IF(ROUNDUP(SUM($C89:F89),0)&lt;$C$21,$C$21*$B$88,0))</f>
        <v>0</v>
      </c>
      <c r="H89" s="253">
        <f>+IF(G89=0,0,+IF(ROUNDUP(SUM($C89:G89),0)&lt;$C$21,$C$21*$B$88,0))</f>
        <v>0</v>
      </c>
    </row>
    <row r="90" spans="1:8" ht="12.75" hidden="1">
      <c r="A90" s="254">
        <f t="shared" si="21"/>
        <v>2008</v>
      </c>
      <c r="B90" s="252"/>
      <c r="C90" s="253"/>
      <c r="D90" s="253">
        <f>+IF(D$21&lt;0,0,D$21*$B$88)</f>
        <v>0</v>
      </c>
      <c r="E90" s="253">
        <f>+IF(D90=0,0,+IF(ROUNDUP(SUM($D90:D90),0)&lt;$D$21,$D$21*$B$88,0))</f>
        <v>0</v>
      </c>
      <c r="F90" s="253">
        <f>+IF(E90=0,0,+IF(ROUNDUP(SUM($D90:E90),0)&lt;$D$21,$D$21*$B$88,0))</f>
        <v>0</v>
      </c>
      <c r="G90" s="253">
        <f>+IF(F90=0,0,+IF(ROUNDUP(SUM($D90:F90),0)&lt;$D$21,$D$21*$B$88,0))</f>
        <v>0</v>
      </c>
      <c r="H90" s="253">
        <f>+IF(G90=0,0,+IF(ROUNDUP(SUM($D90:G90),0)&lt;$D$21,$D$21*$B$88,0))</f>
        <v>0</v>
      </c>
    </row>
    <row r="91" spans="1:8" ht="12.75" hidden="1">
      <c r="A91" s="254">
        <f t="shared" si="21"/>
        <v>2009</v>
      </c>
      <c r="B91" s="252"/>
      <c r="C91" s="253"/>
      <c r="D91" s="253"/>
      <c r="E91" s="253">
        <f>+IF(E$21&lt;0,0,E$21*$B$88)</f>
        <v>0</v>
      </c>
      <c r="F91" s="253">
        <f>+IF(E91=0,0,+IF(ROUNDUP(SUM($E91:E91),0)&lt;$E$21,$E$21*$B$88,0))</f>
        <v>0</v>
      </c>
      <c r="G91" s="253">
        <f>+IF(F91=0,0,+IF(ROUNDUP(SUM($E91:F91),0)&lt;$E$21,$E$21*$B$88,0))</f>
        <v>0</v>
      </c>
      <c r="H91" s="253">
        <f>+IF(G91=0,0,+IF(ROUNDUP(SUM($E91:G91),0)&lt;$E$21,$E$21*$B$88,0))</f>
        <v>0</v>
      </c>
    </row>
    <row r="92" spans="1:8" ht="12.75" hidden="1">
      <c r="A92" s="254">
        <f t="shared" si="21"/>
        <v>2010</v>
      </c>
      <c r="B92" s="252"/>
      <c r="C92" s="253"/>
      <c r="D92" s="253"/>
      <c r="E92" s="253"/>
      <c r="F92" s="253">
        <f>+IF(F$21&lt;0,0,F$21*$B$88)</f>
        <v>0</v>
      </c>
      <c r="G92" s="253">
        <f>+IF(F92=0,0,+IF(ROUNDUP(SUM($F92:F92),0)&lt;$F$21,$F$21*$B$88,0))</f>
        <v>0</v>
      </c>
      <c r="H92" s="253">
        <f>+IF(G92=0,0,+IF(ROUNDUP(SUM($F92:G92),0)&lt;$F$21,$F$21*$B$88,0))</f>
        <v>0</v>
      </c>
    </row>
    <row r="93" spans="1:8" ht="12.75" hidden="1">
      <c r="A93" s="254">
        <f t="shared" si="21"/>
        <v>2011</v>
      </c>
      <c r="B93" s="252"/>
      <c r="C93" s="253"/>
      <c r="D93" s="253"/>
      <c r="E93" s="253"/>
      <c r="F93" s="253"/>
      <c r="G93" s="253">
        <f>+IF(G$21&lt;0,0,G$21*$B$88)</f>
        <v>0</v>
      </c>
      <c r="H93" s="253">
        <f>+IF(G93=0,0,+IF(ROUNDUP(SUM($G93:G93),0)&lt;$G$21,$G$21*$B$88,0))</f>
        <v>0</v>
      </c>
    </row>
    <row r="94" spans="1:8" ht="12.75" hidden="1">
      <c r="A94" s="254">
        <f t="shared" si="21"/>
        <v>2012</v>
      </c>
      <c r="B94" s="252"/>
      <c r="C94" s="253"/>
      <c r="D94" s="253"/>
      <c r="E94" s="253"/>
      <c r="F94" s="253"/>
      <c r="G94" s="253"/>
      <c r="H94" s="253">
        <f>+IF(H$21&lt;0,0,H$21*$B$88)</f>
        <v>0</v>
      </c>
    </row>
    <row r="95" spans="1:8" ht="12.75" hidden="1">
      <c r="A95" s="251" t="str">
        <f>+A44</f>
        <v>   Equipamento básico</v>
      </c>
      <c r="B95" s="252">
        <f>IF($B$8="S",20%,20%/2)</f>
        <v>0.2</v>
      </c>
      <c r="C95" s="253">
        <f aca="true" t="shared" si="22" ref="C95:H95">SUM(C96:C101)</f>
        <v>0</v>
      </c>
      <c r="D95" s="253">
        <f t="shared" si="22"/>
        <v>0</v>
      </c>
      <c r="E95" s="253">
        <f t="shared" si="22"/>
        <v>0</v>
      </c>
      <c r="F95" s="253">
        <f t="shared" si="22"/>
        <v>0</v>
      </c>
      <c r="G95" s="253">
        <f t="shared" si="22"/>
        <v>0</v>
      </c>
      <c r="H95" s="253">
        <f t="shared" si="22"/>
        <v>0</v>
      </c>
    </row>
    <row r="96" spans="1:8" ht="12.75" hidden="1">
      <c r="A96" s="254">
        <f aca="true" t="shared" si="23" ref="A96:A101">A89</f>
        <v>2007</v>
      </c>
      <c r="B96" s="252"/>
      <c r="C96" s="253">
        <f>+IF(C$22&lt;0,0,C$22*$B$95)</f>
        <v>0</v>
      </c>
      <c r="D96" s="253">
        <f>+IF(C96=0,0,+IF(ROUNDUP(SUM($C96:C96),0)&lt;$C$22,$C$22*$B$95,0))</f>
        <v>0</v>
      </c>
      <c r="E96" s="253">
        <f>+IF(D96=0,0,+IF(ROUNDUP(SUM($C96:D96),0)&lt;$C$22,$C$22*$B$95,0))</f>
        <v>0</v>
      </c>
      <c r="F96" s="253">
        <f>+IF(E96=0,0,+IF(ROUNDUP(SUM($C96:E96),0)&lt;$C$22,$C$22*$B$95,0))</f>
        <v>0</v>
      </c>
      <c r="G96" s="253">
        <f>+IF(F96=0,0,+IF(ROUNDUP(SUM($C96:F96),0)&lt;$C$22,$C$22*$B$95,0))</f>
        <v>0</v>
      </c>
      <c r="H96" s="253">
        <f>+IF(G96=0,0,+IF(ROUNDUP(SUM($C96:G96),0)&lt;$C$22,$C$22*$B$95,0))</f>
        <v>0</v>
      </c>
    </row>
    <row r="97" spans="1:8" ht="12.75" hidden="1">
      <c r="A97" s="254">
        <f t="shared" si="23"/>
        <v>2008</v>
      </c>
      <c r="B97" s="252"/>
      <c r="C97" s="253"/>
      <c r="D97" s="253">
        <f>+IF(D$22&lt;0,0,D$22*$B$95)</f>
        <v>0</v>
      </c>
      <c r="E97" s="253">
        <f>+IF(D97=0,0,+IF(ROUNDUP(SUM($D97:D97),0)&lt;$D$22,$D$22*$B$95,0))</f>
        <v>0</v>
      </c>
      <c r="F97" s="253">
        <f>+IF(E97=0,0,+IF(ROUNDUP(SUM($D97:E97),0)&lt;$D$22,$D$22*$B$95,0))</f>
        <v>0</v>
      </c>
      <c r="G97" s="253">
        <f>+IF(F97=0,0,+IF(ROUNDUP(SUM($D97:F97),0)&lt;$D$22,$D$22*$B$95,0))</f>
        <v>0</v>
      </c>
      <c r="H97" s="253">
        <f>+IF(G97=0,0,+IF(ROUNDUP(SUM($D97:G97),0)&lt;$D$22,$D$22*$B$95,0))</f>
        <v>0</v>
      </c>
    </row>
    <row r="98" spans="1:8" ht="12.75" hidden="1">
      <c r="A98" s="254">
        <f t="shared" si="23"/>
        <v>2009</v>
      </c>
      <c r="B98" s="252"/>
      <c r="C98" s="253"/>
      <c r="D98" s="253"/>
      <c r="E98" s="253">
        <f>+IF(E$22&lt;0,0,E$22*$B$95)</f>
        <v>0</v>
      </c>
      <c r="F98" s="253">
        <f>+IF(E98=0,0,+IF(ROUNDUP(SUM($E98:E98),0)&lt;$E$22,$E$22*$B$95,0))</f>
        <v>0</v>
      </c>
      <c r="G98" s="253">
        <f>+IF(F98=0,0,+IF(ROUNDUP(SUM($E98:F98),0)&lt;$E$22,$E$22*$B$95,0))</f>
        <v>0</v>
      </c>
      <c r="H98" s="253">
        <f>+IF(G98=0,0,+IF(ROUNDUP(SUM($E98:G98),0)&lt;$E$22,$E$22*$B$95,0))</f>
        <v>0</v>
      </c>
    </row>
    <row r="99" spans="1:8" ht="12.75" hidden="1">
      <c r="A99" s="254">
        <f t="shared" si="23"/>
        <v>2010</v>
      </c>
      <c r="B99" s="252"/>
      <c r="C99" s="253"/>
      <c r="D99" s="253"/>
      <c r="E99" s="253"/>
      <c r="F99" s="253">
        <f>+IF(F$22&lt;0,0,F$22*$B$95)</f>
        <v>0</v>
      </c>
      <c r="G99" s="253">
        <f>+IF(F99=0,0,+IF(ROUNDUP(SUM($F99:F99),0)&lt;$F$22,$F$22*$B$95,0))</f>
        <v>0</v>
      </c>
      <c r="H99" s="253">
        <f>+IF(G99=0,0,+IF(ROUNDUP(SUM($F99:G99),0)&lt;$F$22,$F$22*$B$95,0))</f>
        <v>0</v>
      </c>
    </row>
    <row r="100" spans="1:8" ht="12.75" hidden="1">
      <c r="A100" s="254">
        <f t="shared" si="23"/>
        <v>2011</v>
      </c>
      <c r="B100" s="252"/>
      <c r="C100" s="253"/>
      <c r="D100" s="253"/>
      <c r="E100" s="253"/>
      <c r="F100" s="253"/>
      <c r="G100" s="253">
        <f>+IF(G$22&lt;0,0,G$22*$B$95)</f>
        <v>0</v>
      </c>
      <c r="H100" s="253">
        <f>+IF(G100=0,0,+IF(ROUNDUP(SUM($G100:G100),0)&lt;$G$22,$G$22*$B$95,0))</f>
        <v>0</v>
      </c>
    </row>
    <row r="101" spans="1:8" ht="12.75" hidden="1">
      <c r="A101" s="254">
        <f t="shared" si="23"/>
        <v>2012</v>
      </c>
      <c r="B101" s="252"/>
      <c r="C101" s="253"/>
      <c r="D101" s="253"/>
      <c r="E101" s="253"/>
      <c r="F101" s="253"/>
      <c r="G101" s="253"/>
      <c r="H101" s="253">
        <f>+IF(H$22&lt;0,0,H$22*$B$95)</f>
        <v>0</v>
      </c>
    </row>
    <row r="102" spans="1:8" ht="12.75" hidden="1">
      <c r="A102" s="251" t="str">
        <f>+A45</f>
        <v>   Equipamento de transporte</v>
      </c>
      <c r="B102" s="252">
        <f>IF($B$8="S",25%,25%/2)</f>
        <v>0.25</v>
      </c>
      <c r="C102" s="253">
        <f aca="true" t="shared" si="24" ref="C102:H102">SUM(C103:C108)</f>
        <v>0</v>
      </c>
      <c r="D102" s="253">
        <f t="shared" si="24"/>
        <v>0</v>
      </c>
      <c r="E102" s="253">
        <f t="shared" si="24"/>
        <v>0</v>
      </c>
      <c r="F102" s="253">
        <f t="shared" si="24"/>
        <v>0</v>
      </c>
      <c r="G102" s="253">
        <f t="shared" si="24"/>
        <v>0</v>
      </c>
      <c r="H102" s="253">
        <f t="shared" si="24"/>
        <v>0</v>
      </c>
    </row>
    <row r="103" spans="1:8" ht="12.75" hidden="1">
      <c r="A103" s="254">
        <f aca="true" t="shared" si="25" ref="A103:A108">A96</f>
        <v>2007</v>
      </c>
      <c r="B103" s="252"/>
      <c r="C103" s="253">
        <f>+IF(C$23&lt;0,0,C$23*$B$102)</f>
        <v>0</v>
      </c>
      <c r="D103" s="253">
        <f>+IF(C103=0,0,+IF(ROUNDUP(SUM($C103:C103),0)&lt;$C$23,$C$23*$B$102,0))</f>
        <v>0</v>
      </c>
      <c r="E103" s="253">
        <f>+IF(D103=0,0,+IF(ROUNDUP(SUM($C103:D103),0)&lt;$C$23,$C$23*$B$102,0))</f>
        <v>0</v>
      </c>
      <c r="F103" s="253">
        <f>+IF(E103=0,0,+IF(ROUNDUP(SUM($C103:E103),0)&lt;$C$23,$C$23*$B$102,0))</f>
        <v>0</v>
      </c>
      <c r="G103" s="253">
        <f>+IF(F103=0,0,+IF(ROUNDUP(SUM($C103:F103),0)&lt;$C$23,$C$23*$B$102,0))</f>
        <v>0</v>
      </c>
      <c r="H103" s="253">
        <f>+IF(G103=0,0,+IF(ROUNDUP(SUM($C103:G103),0)&lt;$C$23,$C$23*$B$102,0))</f>
        <v>0</v>
      </c>
    </row>
    <row r="104" spans="1:8" ht="12.75" hidden="1">
      <c r="A104" s="254">
        <f t="shared" si="25"/>
        <v>2008</v>
      </c>
      <c r="B104" s="252"/>
      <c r="C104" s="253"/>
      <c r="D104" s="253">
        <f>+IF(D$23&lt;0,0,D$23*$B$102)</f>
        <v>0</v>
      </c>
      <c r="E104" s="253">
        <f>+IF(D104=0,0,+IF(ROUNDUP(SUM($D104:D104),0)&lt;$D$23,$D$23*$B$102,0))</f>
        <v>0</v>
      </c>
      <c r="F104" s="253">
        <f>+IF(E104=0,0,+IF(ROUNDUP(SUM($D104:E104),0)&lt;$D$23,$D$23*$B$102,0))</f>
        <v>0</v>
      </c>
      <c r="G104" s="253">
        <f>+IF(F104=0,0,+IF(ROUNDUP(SUM($D104:F104),0)&lt;$D$23,$D$23*$B$102,0))</f>
        <v>0</v>
      </c>
      <c r="H104" s="253">
        <f>+IF(G104=0,0,+IF(ROUNDUP(SUM($D104:G104),0)&lt;$D$23,$D$23*$B$102,0))</f>
        <v>0</v>
      </c>
    </row>
    <row r="105" spans="1:8" ht="12.75" hidden="1">
      <c r="A105" s="254">
        <f t="shared" si="25"/>
        <v>2009</v>
      </c>
      <c r="B105" s="252"/>
      <c r="C105" s="253"/>
      <c r="D105" s="253"/>
      <c r="E105" s="253">
        <f>+IF(E$23&lt;0,0,E$23*$B$102)</f>
        <v>0</v>
      </c>
      <c r="F105" s="253">
        <f>+IF(E105=0,0,+IF(ROUNDUP(SUM($E105:E105),0)&lt;$E$23,$E$23*$B$102,0))</f>
        <v>0</v>
      </c>
      <c r="G105" s="253">
        <f>+IF(F105=0,0,+IF(ROUNDUP(SUM($E105:F105),0)&lt;$E$23,$E$23*$B$102,0))</f>
        <v>0</v>
      </c>
      <c r="H105" s="253">
        <f>+IF(G105=0,0,+IF(ROUNDUP(SUM($E105:G105),0)&lt;$E$23,$E$23*$B$102,0))</f>
        <v>0</v>
      </c>
    </row>
    <row r="106" spans="1:8" ht="12.75" hidden="1">
      <c r="A106" s="254">
        <f t="shared" si="25"/>
        <v>2010</v>
      </c>
      <c r="B106" s="252"/>
      <c r="C106" s="253"/>
      <c r="D106" s="253"/>
      <c r="E106" s="253"/>
      <c r="F106" s="253">
        <f>+IF(F$23&lt;0,0,F$23*$B$102)</f>
        <v>0</v>
      </c>
      <c r="G106" s="253">
        <f>+IF(F106=0,0,+IF(ROUNDUP(SUM($F106:F106),0)&lt;$F$23,$F$23*$B$102,0))</f>
        <v>0</v>
      </c>
      <c r="H106" s="253">
        <f>+IF(G106=0,0,+IF(ROUNDUP(SUM($F106:G106),0)&lt;$F$23,$F$23*$B$102,0))</f>
        <v>0</v>
      </c>
    </row>
    <row r="107" spans="1:8" ht="12.75" hidden="1">
      <c r="A107" s="254">
        <f t="shared" si="25"/>
        <v>2011</v>
      </c>
      <c r="B107" s="252"/>
      <c r="C107" s="253"/>
      <c r="D107" s="253"/>
      <c r="E107" s="253"/>
      <c r="F107" s="253"/>
      <c r="G107" s="253">
        <f>+IF(G$23&lt;0,0,G$23*$B$102)</f>
        <v>0</v>
      </c>
      <c r="H107" s="253">
        <f>+IF(G107=0,0,+IF(ROUNDUP(SUM($G107:G107),0)&lt;$G$23,$G$23*$B$102,0))</f>
        <v>0</v>
      </c>
    </row>
    <row r="108" spans="1:8" ht="12.75" hidden="1">
      <c r="A108" s="254">
        <f t="shared" si="25"/>
        <v>2012</v>
      </c>
      <c r="B108" s="252"/>
      <c r="C108" s="253"/>
      <c r="D108" s="253"/>
      <c r="E108" s="253"/>
      <c r="F108" s="253"/>
      <c r="G108" s="253"/>
      <c r="H108" s="253">
        <f>+IF(H$23&lt;0,0,H$23*$B$102)</f>
        <v>0</v>
      </c>
    </row>
    <row r="109" spans="1:8" ht="12.75" hidden="1">
      <c r="A109" s="251" t="str">
        <f>+A46</f>
        <v>   Ferramentas e utensilios</v>
      </c>
      <c r="B109" s="252">
        <f>IF($B$8="S",25%,25%/2)</f>
        <v>0.25</v>
      </c>
      <c r="C109" s="253">
        <f aca="true" t="shared" si="26" ref="C109:H109">SUM(C110:C115)</f>
        <v>0</v>
      </c>
      <c r="D109" s="253">
        <f t="shared" si="26"/>
        <v>0</v>
      </c>
      <c r="E109" s="253">
        <f t="shared" si="26"/>
        <v>0</v>
      </c>
      <c r="F109" s="253">
        <f t="shared" si="26"/>
        <v>0</v>
      </c>
      <c r="G109" s="253">
        <f t="shared" si="26"/>
        <v>0</v>
      </c>
      <c r="H109" s="253">
        <f t="shared" si="26"/>
        <v>0</v>
      </c>
    </row>
    <row r="110" spans="1:8" ht="12.75" hidden="1">
      <c r="A110" s="254">
        <f aca="true" t="shared" si="27" ref="A110:A115">A103</f>
        <v>2007</v>
      </c>
      <c r="B110" s="252"/>
      <c r="C110" s="253">
        <f>+IF(C$24&lt;0,0,C$24*$B$109)</f>
        <v>0</v>
      </c>
      <c r="D110" s="253">
        <f>+IF(C110=0,0,+IF(ROUNDUP(SUM($C110:C110),0)&lt;$C$24,$C$24*$B$109,0))</f>
        <v>0</v>
      </c>
      <c r="E110" s="253">
        <f>+IF(D110=0,0,+IF(ROUNDUP(SUM($C110:D110),0)&lt;$C$24,$C$24*$B$109,0))</f>
        <v>0</v>
      </c>
      <c r="F110" s="253">
        <f>+IF(E110=0,0,+IF(ROUNDUP(SUM($C110:E110),0)&lt;$C$24,$C$24*$B$109,0))</f>
        <v>0</v>
      </c>
      <c r="G110" s="253">
        <f>+IF(F110=0,0,+IF(ROUNDUP(SUM($C110:F110),0)&lt;$C$24,$C$24*$B$109,0))</f>
        <v>0</v>
      </c>
      <c r="H110" s="253">
        <f>+IF(G110=0,0,+IF(ROUNDUP(SUM($C110:G110),0)&lt;$C$24,$C$24*$B$109,0))</f>
        <v>0</v>
      </c>
    </row>
    <row r="111" spans="1:8" ht="12.75" hidden="1">
      <c r="A111" s="254">
        <f t="shared" si="27"/>
        <v>2008</v>
      </c>
      <c r="B111" s="252"/>
      <c r="C111" s="253"/>
      <c r="D111" s="253">
        <f>+IF(D$24&lt;0,0,D$24*$B$109)</f>
        <v>0</v>
      </c>
      <c r="E111" s="253">
        <f>+IF(D111=0,0,+IF(ROUNDUP(SUM($D111:D111),0)&lt;$D$24,$D$24*$B$109,0))</f>
        <v>0</v>
      </c>
      <c r="F111" s="253">
        <f>+IF(E111=0,0,+IF(ROUNDUP(SUM($D111:E111),0)&lt;$D$24,$D$24*$B$109,0))</f>
        <v>0</v>
      </c>
      <c r="G111" s="253">
        <f>+IF(F111=0,0,+IF(ROUNDUP(SUM($D111:F111),0)&lt;$D$24,$D$24*$B$109,0))</f>
        <v>0</v>
      </c>
      <c r="H111" s="253">
        <f>+IF(G111=0,0,+IF(ROUNDUP(SUM($D111:G111),0)&lt;$D$24,$D$24*$B$109,0))</f>
        <v>0</v>
      </c>
    </row>
    <row r="112" spans="1:8" ht="12.75" hidden="1">
      <c r="A112" s="254">
        <f t="shared" si="27"/>
        <v>2009</v>
      </c>
      <c r="B112" s="252"/>
      <c r="C112" s="253"/>
      <c r="D112" s="253"/>
      <c r="E112" s="253">
        <f>+IF(E$24&lt;0,0,E$24*$B$109)</f>
        <v>0</v>
      </c>
      <c r="F112" s="253">
        <f>+IF(E112=0,0,+IF(ROUNDUP(SUM($E112:E112),0)&lt;$E$24,$E$24*$B$109,0))</f>
        <v>0</v>
      </c>
      <c r="G112" s="253">
        <f>+IF(F112=0,0,+IF(ROUNDUP(SUM($E112:F112),0)&lt;$E$24,$E$24*$B$109,0))</f>
        <v>0</v>
      </c>
      <c r="H112" s="253">
        <f>+IF(G112=0,0,+IF(ROUNDUP(SUM($E112:G112),0)&lt;$E$24,$E$24*$B$109,0))</f>
        <v>0</v>
      </c>
    </row>
    <row r="113" spans="1:8" ht="12.75" hidden="1">
      <c r="A113" s="254">
        <f t="shared" si="27"/>
        <v>2010</v>
      </c>
      <c r="B113" s="252"/>
      <c r="C113" s="253"/>
      <c r="D113" s="253"/>
      <c r="E113" s="253"/>
      <c r="F113" s="253">
        <f>+IF(F$24&lt;0,0,F$24*$B$109)</f>
        <v>0</v>
      </c>
      <c r="G113" s="253">
        <f>+IF(F113=0,0,+IF(ROUNDUP(SUM($F113:F113),0)&lt;$F$24,$F$24*$B$109,0))</f>
        <v>0</v>
      </c>
      <c r="H113" s="253">
        <f>+IF(G113=0,0,+IF(ROUNDUP(SUM($F113:G113),0)&lt;$F$24,$F$24*$B$109,0))</f>
        <v>0</v>
      </c>
    </row>
    <row r="114" spans="1:8" ht="12.75" hidden="1">
      <c r="A114" s="254">
        <f t="shared" si="27"/>
        <v>2011</v>
      </c>
      <c r="B114" s="252"/>
      <c r="C114" s="253"/>
      <c r="D114" s="253"/>
      <c r="E114" s="253"/>
      <c r="F114" s="253"/>
      <c r="G114" s="253">
        <f>+IF(G$24&lt;0,0,G$24*$B$109)</f>
        <v>0</v>
      </c>
      <c r="H114" s="253">
        <f>+IF(G114=0,0,+IF(ROUNDUP(SUM($G114:G114),0)&lt;$G$24,$G$24*$B$109,0))</f>
        <v>0</v>
      </c>
    </row>
    <row r="115" spans="1:8" ht="12.75" hidden="1">
      <c r="A115" s="254">
        <f t="shared" si="27"/>
        <v>2012</v>
      </c>
      <c r="B115" s="252"/>
      <c r="C115" s="253"/>
      <c r="D115" s="253"/>
      <c r="E115" s="253"/>
      <c r="F115" s="253"/>
      <c r="G115" s="253"/>
      <c r="H115" s="253">
        <f>+IF(H$24&lt;0,0,H$24*$B$109)</f>
        <v>0</v>
      </c>
    </row>
    <row r="116" spans="1:8" ht="12.75" hidden="1">
      <c r="A116" s="251" t="str">
        <f>+A47</f>
        <v>   Equipamento administrativo</v>
      </c>
      <c r="B116" s="252">
        <f>IF($B$8="S",25%,25%/2)</f>
        <v>0.25</v>
      </c>
      <c r="C116" s="253">
        <f aca="true" t="shared" si="28" ref="C116:H116">+SUM(C117:C122)</f>
        <v>0</v>
      </c>
      <c r="D116" s="253">
        <f t="shared" si="28"/>
        <v>0</v>
      </c>
      <c r="E116" s="253">
        <f t="shared" si="28"/>
        <v>0</v>
      </c>
      <c r="F116" s="253">
        <f t="shared" si="28"/>
        <v>0</v>
      </c>
      <c r="G116" s="253">
        <f t="shared" si="28"/>
        <v>0</v>
      </c>
      <c r="H116" s="253">
        <f t="shared" si="28"/>
        <v>0</v>
      </c>
    </row>
    <row r="117" spans="1:8" ht="12.75" hidden="1">
      <c r="A117" s="254">
        <f aca="true" t="shared" si="29" ref="A117:A122">A110</f>
        <v>2007</v>
      </c>
      <c r="B117" s="252"/>
      <c r="C117" s="253">
        <f>+IF(C$25&lt;0,0,C$25*$B$116)</f>
        <v>0</v>
      </c>
      <c r="D117" s="253">
        <f>+IF(C117=0,0,+IF(ROUNDUP(SUM($C117:C117),0)&lt;$C$25,$C$25*$B$116,0))</f>
        <v>0</v>
      </c>
      <c r="E117" s="253">
        <f>+IF(D117=0,0,+IF(ROUNDUP(SUM($C117:D117),0)&lt;$C$25,$C$25*$B$116,0))</f>
        <v>0</v>
      </c>
      <c r="F117" s="253">
        <f>+IF(E117=0,0,+IF(ROUNDUP(SUM($C117:E117),0)&lt;$C$25,$C$25*$B$116,0))</f>
        <v>0</v>
      </c>
      <c r="G117" s="253">
        <f>+IF(F117=0,0,+IF(ROUNDUP(SUM($C117:F117),0)&lt;$C$25,$C$25*$B$116,0))</f>
        <v>0</v>
      </c>
      <c r="H117" s="253">
        <f>+IF(G117=0,0,+IF(ROUNDUP(SUM($C117:G117),0)&lt;$C$25,$C$25*$B$116,0))</f>
        <v>0</v>
      </c>
    </row>
    <row r="118" spans="1:8" ht="12.75" hidden="1">
      <c r="A118" s="254">
        <f t="shared" si="29"/>
        <v>2008</v>
      </c>
      <c r="B118" s="252"/>
      <c r="C118" s="253"/>
      <c r="D118" s="253">
        <f>+IF(D$25&lt;0,0,D$25*$B$116)</f>
        <v>0</v>
      </c>
      <c r="E118" s="253">
        <f>+IF(D118=0,0,+IF(ROUNDUP(SUM($D118:D118),0)&lt;$D$25,$D$25*$B$116,0))</f>
        <v>0</v>
      </c>
      <c r="F118" s="253">
        <f>+IF(E118=0,0,+IF(ROUNDUP(SUM($D118:E118),0)&lt;$D$25,$D$25*$B$116,0))</f>
        <v>0</v>
      </c>
      <c r="G118" s="253">
        <f>+IF(F118=0,0,+IF(ROUNDUP(SUM($D118:F118),0)&lt;$D$25,$D$25*$B$116,0))</f>
        <v>0</v>
      </c>
      <c r="H118" s="253">
        <f>+IF(G118=0,0,+IF(ROUNDUP(SUM($D118:G118),0)&lt;$D$25,$D$25*$B$116,0))</f>
        <v>0</v>
      </c>
    </row>
    <row r="119" spans="1:8" ht="12.75" hidden="1">
      <c r="A119" s="254">
        <f t="shared" si="29"/>
        <v>2009</v>
      </c>
      <c r="B119" s="252"/>
      <c r="C119" s="253"/>
      <c r="D119" s="253"/>
      <c r="E119" s="253">
        <f>+IF(E$25&lt;0,0,E$25*$B$116)</f>
        <v>0</v>
      </c>
      <c r="F119" s="253">
        <f>+IF(E119=0,0,+IF(ROUNDUP(SUM($E119:E119),0)&lt;$E$25,$E$25*$B$116,0))</f>
        <v>0</v>
      </c>
      <c r="G119" s="253">
        <f>+IF(F119=0,0,+IF(ROUNDUP(SUM($E119:F119),0)&lt;$E$25,$E$25*$B$116,0))</f>
        <v>0</v>
      </c>
      <c r="H119" s="253">
        <f>+IF(G119=0,0,+IF(ROUNDUP(SUM($E119:G119),0)&lt;$E$25,$E$25*$B$116,0))</f>
        <v>0</v>
      </c>
    </row>
    <row r="120" spans="1:8" ht="12.75" hidden="1">
      <c r="A120" s="254">
        <f t="shared" si="29"/>
        <v>2010</v>
      </c>
      <c r="B120" s="252"/>
      <c r="C120" s="253"/>
      <c r="D120" s="253"/>
      <c r="E120" s="253"/>
      <c r="F120" s="253">
        <f>+IF(F$25&lt;0,0,F$25*$B$116)</f>
        <v>0</v>
      </c>
      <c r="G120" s="253">
        <f>+IF(F120=0,0,+IF(ROUNDUP(SUM($F120:F120),0)&lt;$F$25,$F$25*$B$116,0))</f>
        <v>0</v>
      </c>
      <c r="H120" s="253">
        <f>+IF(G120=0,0,+IF(ROUNDUP(SUM($F120:G120),0)&lt;$F$25,$F$25*$B$116,0))</f>
        <v>0</v>
      </c>
    </row>
    <row r="121" spans="1:8" ht="12.75" hidden="1">
      <c r="A121" s="254">
        <f t="shared" si="29"/>
        <v>2011</v>
      </c>
      <c r="B121" s="252"/>
      <c r="C121" s="253"/>
      <c r="D121" s="253"/>
      <c r="E121" s="253"/>
      <c r="F121" s="253"/>
      <c r="G121" s="253">
        <f>+IF(G$25&lt;0,0,G$25*$B$116)</f>
        <v>0</v>
      </c>
      <c r="H121" s="253">
        <f>+IF(G121=0,0,+IF(ROUNDUP(SUM($G121:G121),0)&lt;$G$25,$G$25*$B$116,0))</f>
        <v>0</v>
      </c>
    </row>
    <row r="122" spans="1:8" ht="12.75" hidden="1">
      <c r="A122" s="254">
        <f t="shared" si="29"/>
        <v>2012</v>
      </c>
      <c r="B122" s="252"/>
      <c r="C122" s="253"/>
      <c r="D122" s="253"/>
      <c r="E122" s="253"/>
      <c r="F122" s="253"/>
      <c r="G122" s="253"/>
      <c r="H122" s="253">
        <f>+IF(H$25&lt;0,0,H$25*$B$116)</f>
        <v>0</v>
      </c>
    </row>
    <row r="123" spans="1:8" ht="12.75" hidden="1">
      <c r="A123" s="251" t="str">
        <f>+A48</f>
        <v>   Taras e vasilhame</v>
      </c>
      <c r="B123" s="252">
        <f>IF($B$8="S",100%/7,100%/7/2)</f>
        <v>0.14285714285714285</v>
      </c>
      <c r="C123" s="253">
        <f aca="true" t="shared" si="30" ref="C123:H123">SUM(C124:C129)</f>
        <v>0</v>
      </c>
      <c r="D123" s="253">
        <f t="shared" si="30"/>
        <v>0</v>
      </c>
      <c r="E123" s="253">
        <f t="shared" si="30"/>
        <v>0</v>
      </c>
      <c r="F123" s="253">
        <f t="shared" si="30"/>
        <v>0</v>
      </c>
      <c r="G123" s="253">
        <f t="shared" si="30"/>
        <v>0</v>
      </c>
      <c r="H123" s="253">
        <f t="shared" si="30"/>
        <v>0</v>
      </c>
    </row>
    <row r="124" spans="1:8" ht="12.75" hidden="1">
      <c r="A124" s="254">
        <f aca="true" t="shared" si="31" ref="A124:A129">A117</f>
        <v>2007</v>
      </c>
      <c r="B124" s="252"/>
      <c r="C124" s="253">
        <f>+IF(C$26&lt;0,0,C$26*$B$123)</f>
        <v>0</v>
      </c>
      <c r="D124" s="253">
        <f>+IF(C124=0,0,+IF(ROUNDUP(SUM($C124:C124),0)&lt;$C$26,$C$26*$B$123,0))</f>
        <v>0</v>
      </c>
      <c r="E124" s="253">
        <f>+IF(D124=0,0,+IF(ROUNDUP(SUM($C124:D124),0)&lt;$C$26,$C$26*$B$123,0))</f>
        <v>0</v>
      </c>
      <c r="F124" s="253">
        <f>+IF(E124=0,0,+IF(ROUNDUP(SUM($C124:E124),0)&lt;$C$26,$C$26*$B$123,0))</f>
        <v>0</v>
      </c>
      <c r="G124" s="253">
        <f>+IF(F124=0,0,+IF(ROUNDUP(SUM($C124:F124),0)&lt;$C$26,$C$26*$B$123,0))</f>
        <v>0</v>
      </c>
      <c r="H124" s="253">
        <f>+IF(G124=0,0,+IF(ROUNDUP(SUM($C124:G124),0)&lt;$C$26,$C$26*$B$123,0))</f>
        <v>0</v>
      </c>
    </row>
    <row r="125" spans="1:8" ht="12.75" hidden="1">
      <c r="A125" s="254">
        <f t="shared" si="31"/>
        <v>2008</v>
      </c>
      <c r="B125" s="252"/>
      <c r="C125" s="253"/>
      <c r="D125" s="253">
        <f>+IF(D$26&lt;0,0,D$26*$B$123)</f>
        <v>0</v>
      </c>
      <c r="E125" s="253">
        <f>+IF(D125=0,0,+IF(ROUNDUP(SUM($D125:D125),0)&lt;$D$26,$D$26*$B$123,0))</f>
        <v>0</v>
      </c>
      <c r="F125" s="253">
        <f>+IF(E125=0,0,+IF(ROUNDUP(SUM($D125:E125),0)&lt;$D$26,$D$26*$B$123,0))</f>
        <v>0</v>
      </c>
      <c r="G125" s="253">
        <f>+IF(F125=0,0,+IF(ROUNDUP(SUM($D125:F125),0)&lt;$D$26,$D$26*$B$123,0))</f>
        <v>0</v>
      </c>
      <c r="H125" s="253">
        <f>+IF(G125=0,0,+IF(ROUNDUP(SUM($D125:G125),0)&lt;$D$26,$D$26*$B$123,0))</f>
        <v>0</v>
      </c>
    </row>
    <row r="126" spans="1:8" ht="12.75" hidden="1">
      <c r="A126" s="254">
        <f t="shared" si="31"/>
        <v>2009</v>
      </c>
      <c r="B126" s="252"/>
      <c r="C126" s="253"/>
      <c r="D126" s="253"/>
      <c r="E126" s="253">
        <f>+IF(E$26&lt;0,0,E$26*$B$123)</f>
        <v>0</v>
      </c>
      <c r="F126" s="253">
        <f>+IF(E126=0,0,+IF(ROUNDUP(SUM($E126:E126),0)&lt;$E$26,$E$26*$B$123,0))</f>
        <v>0</v>
      </c>
      <c r="G126" s="253">
        <f>+IF(F126=0,0,+IF(ROUNDUP(SUM($E126:F126),0)&lt;$E$26,$E$26*$B$123,0))</f>
        <v>0</v>
      </c>
      <c r="H126" s="253">
        <f>+IF(G126=0,0,+IF(ROUNDUP(SUM($E126:G126),0)&lt;$E$26,$E$26*$B$123,0))</f>
        <v>0</v>
      </c>
    </row>
    <row r="127" spans="1:8" ht="12.75" hidden="1">
      <c r="A127" s="254">
        <f t="shared" si="31"/>
        <v>2010</v>
      </c>
      <c r="B127" s="252"/>
      <c r="C127" s="253"/>
      <c r="D127" s="253"/>
      <c r="E127" s="253"/>
      <c r="F127" s="253">
        <f>+IF(F$26&lt;0,0,F$26*$B$123)</f>
        <v>0</v>
      </c>
      <c r="G127" s="253">
        <f>+IF(F127=0,0,+IF(ROUNDUP(SUM($F127:F127),0)&lt;$F$26,$F$26*$B$123,0))</f>
        <v>0</v>
      </c>
      <c r="H127" s="253">
        <f>+IF(G127=0,0,+IF(ROUNDUP(SUM($F127:G127),0)&lt;$F$26,$F$26*$B$123,0))</f>
        <v>0</v>
      </c>
    </row>
    <row r="128" spans="1:8" ht="12.75" hidden="1">
      <c r="A128" s="254">
        <f t="shared" si="31"/>
        <v>2011</v>
      </c>
      <c r="B128" s="252"/>
      <c r="C128" s="253"/>
      <c r="D128" s="253"/>
      <c r="E128" s="253"/>
      <c r="F128" s="253"/>
      <c r="G128" s="253">
        <f>+IF(G$26&lt;0,0,G$26*$B$123)</f>
        <v>0</v>
      </c>
      <c r="H128" s="253">
        <f>+IF(G128=0,0,+IF(ROUNDUP(SUM($G128:G128),0)&lt;$G$26,$G$26*$B$123,0))</f>
        <v>0</v>
      </c>
    </row>
    <row r="129" spans="1:8" ht="12.75" hidden="1">
      <c r="A129" s="254">
        <f t="shared" si="31"/>
        <v>2012</v>
      </c>
      <c r="B129" s="252"/>
      <c r="C129" s="253"/>
      <c r="D129" s="253"/>
      <c r="E129" s="253"/>
      <c r="F129" s="253"/>
      <c r="G129" s="253"/>
      <c r="H129" s="253">
        <f>+IF(H$26&lt;0,0,H$26*$B$123)</f>
        <v>0</v>
      </c>
    </row>
    <row r="130" spans="1:8" ht="12.75" hidden="1">
      <c r="A130" s="251" t="str">
        <f>+A49</f>
        <v>   Outras imobilizações corpóreas</v>
      </c>
      <c r="B130" s="252">
        <f>IF($B$8="S",20%,20%/2)</f>
        <v>0.2</v>
      </c>
      <c r="C130" s="253">
        <f aca="true" t="shared" si="32" ref="C130:H130">SUM(C131:C136)</f>
        <v>0</v>
      </c>
      <c r="D130" s="253">
        <f t="shared" si="32"/>
        <v>0</v>
      </c>
      <c r="E130" s="253">
        <f t="shared" si="32"/>
        <v>0</v>
      </c>
      <c r="F130" s="253">
        <f t="shared" si="32"/>
        <v>0</v>
      </c>
      <c r="G130" s="253">
        <f t="shared" si="32"/>
        <v>0</v>
      </c>
      <c r="H130" s="253">
        <f t="shared" si="32"/>
        <v>0</v>
      </c>
    </row>
    <row r="131" spans="1:8" ht="12.75" hidden="1">
      <c r="A131" s="254">
        <f aca="true" t="shared" si="33" ref="A131:A136">A124</f>
        <v>2007</v>
      </c>
      <c r="B131" s="252"/>
      <c r="C131" s="253">
        <f>+IF(C$27&lt;0,0,C$27*$B$130)</f>
        <v>0</v>
      </c>
      <c r="D131" s="253">
        <f>+IF(C131=0,0,+IF(ROUNDUP(SUM($C131:C131),0)&lt;$C$27,$C$27*$B$130,0))</f>
        <v>0</v>
      </c>
      <c r="E131" s="253">
        <f>+IF(D131=0,0,+IF(ROUNDUP(SUM($C131:D131),0)&lt;$C$27,$C$27*$B$130,0))</f>
        <v>0</v>
      </c>
      <c r="F131" s="253">
        <f>+IF(E131=0,0,+IF(ROUNDUP(SUM($C131:E131),0)&lt;$C$27,$C$27*$B$130,0))</f>
        <v>0</v>
      </c>
      <c r="G131" s="253">
        <f>+IF(F131=0,0,+IF(ROUNDUP(SUM($C131:F131),0)&lt;$C$27,$C$27*$B$130,0))</f>
        <v>0</v>
      </c>
      <c r="H131" s="253">
        <f>+IF(G131=0,0,+IF(ROUNDUP(SUM($C131:G131),0)&lt;$C$27,$C$27*$B$130,0))</f>
        <v>0</v>
      </c>
    </row>
    <row r="132" spans="1:8" ht="12.75" hidden="1">
      <c r="A132" s="254">
        <f t="shared" si="33"/>
        <v>2008</v>
      </c>
      <c r="B132" s="252"/>
      <c r="C132" s="253"/>
      <c r="D132" s="253">
        <f>+IF(D$27&lt;0,0,D$27*$B$130)</f>
        <v>0</v>
      </c>
      <c r="E132" s="253">
        <f>+IF(D132=0,0,+IF(ROUNDUP(SUM($D132:D132),0)&lt;$D$27,$D$27*$B$130,0))</f>
        <v>0</v>
      </c>
      <c r="F132" s="253">
        <f>+IF(E132=0,0,+IF(ROUNDUP(SUM($D132:E132),0)&lt;$D$27,$D$27*$B$130,0))</f>
        <v>0</v>
      </c>
      <c r="G132" s="253">
        <f>+IF(F132=0,0,+IF(ROUNDUP(SUM($D132:F132),0)&lt;$D$27,$D$27*$B$130,0))</f>
        <v>0</v>
      </c>
      <c r="H132" s="253">
        <f>+IF(G132=0,0,+IF(ROUNDUP(SUM($D132:G132),0)&lt;$D$27,$D$27*$B$130,0))</f>
        <v>0</v>
      </c>
    </row>
    <row r="133" spans="1:8" ht="12.75" hidden="1">
      <c r="A133" s="254">
        <f t="shared" si="33"/>
        <v>2009</v>
      </c>
      <c r="B133" s="252"/>
      <c r="C133" s="253"/>
      <c r="D133" s="253"/>
      <c r="E133" s="253">
        <f>+IF(E$27&lt;0,0,E$27*$B$130)</f>
        <v>0</v>
      </c>
      <c r="F133" s="253">
        <f>+IF(E133=0,0,+IF(ROUNDUP(SUM($E133:E133),0)&lt;$E$27,$E$27*$B$130,0))</f>
        <v>0</v>
      </c>
      <c r="G133" s="253">
        <f>+IF(F133=0,0,+IF(ROUNDUP(SUM($E133:F133),0)&lt;$E$27,$E$27*$B$130,0))</f>
        <v>0</v>
      </c>
      <c r="H133" s="253">
        <f>+IF(G133=0,0,+IF(ROUNDUP(SUM($E133:G133),0)&lt;$E$27,$E$27*$B$130,0))</f>
        <v>0</v>
      </c>
    </row>
    <row r="134" spans="1:8" ht="12.75" hidden="1">
      <c r="A134" s="254">
        <f t="shared" si="33"/>
        <v>2010</v>
      </c>
      <c r="B134" s="252"/>
      <c r="C134" s="253"/>
      <c r="D134" s="253"/>
      <c r="E134" s="253"/>
      <c r="F134" s="253">
        <f>+IF(F$27&lt;0,0,F$27*$B$130)</f>
        <v>0</v>
      </c>
      <c r="G134" s="253">
        <f>+IF(F134=0,0,+IF(ROUNDUP(SUM($F134:F134),0)&lt;$F$27,$F$27*$B$130,0))</f>
        <v>0</v>
      </c>
      <c r="H134" s="253">
        <f>+IF(G134=0,0,+IF(ROUNDUP(SUM($F134:G134),0)&lt;$F$27,$F$27*$B$130,0))</f>
        <v>0</v>
      </c>
    </row>
    <row r="135" spans="1:8" ht="12.75" hidden="1">
      <c r="A135" s="254">
        <f t="shared" si="33"/>
        <v>2011</v>
      </c>
      <c r="B135" s="252"/>
      <c r="C135" s="253"/>
      <c r="D135" s="253"/>
      <c r="E135" s="253"/>
      <c r="F135" s="253"/>
      <c r="G135" s="253">
        <f>+IF(G$27&lt;0,0,G$27*$B$130)</f>
        <v>0</v>
      </c>
      <c r="H135" s="253">
        <f>+IF(G135=0,0,+IF(ROUNDUP(SUM($G135:G135),0)&lt;$G$27,$G$27*$B$130,0))</f>
        <v>0</v>
      </c>
    </row>
    <row r="136" spans="1:8" ht="12.75" hidden="1">
      <c r="A136" s="254">
        <f t="shared" si="33"/>
        <v>2012</v>
      </c>
      <c r="B136" s="256"/>
      <c r="C136" s="253"/>
      <c r="D136" s="253"/>
      <c r="E136" s="253"/>
      <c r="F136" s="253"/>
      <c r="G136" s="253"/>
      <c r="H136" s="253">
        <f>+IF(H$27&lt;0,0,H$27*$B$130)</f>
        <v>0</v>
      </c>
    </row>
    <row r="137" spans="1:8" ht="12.75" hidden="1">
      <c r="A137" s="477" t="str">
        <f>+A50</f>
        <v>Total Imobilizado Corpóreo</v>
      </c>
      <c r="B137" s="478"/>
      <c r="C137" s="257">
        <f aca="true" t="shared" si="34" ref="C137:H137">C87+C88+C95+C102+C109+C116+C123+C130</f>
        <v>0</v>
      </c>
      <c r="D137" s="257">
        <f t="shared" si="34"/>
        <v>0</v>
      </c>
      <c r="E137" s="257">
        <f t="shared" si="34"/>
        <v>0</v>
      </c>
      <c r="F137" s="257">
        <f t="shared" si="34"/>
        <v>0</v>
      </c>
      <c r="G137" s="257">
        <f t="shared" si="34"/>
        <v>0</v>
      </c>
      <c r="H137" s="257">
        <f t="shared" si="34"/>
        <v>0</v>
      </c>
    </row>
    <row r="138" spans="1:8" ht="12.75">
      <c r="A138" s="477" t="s">
        <v>403</v>
      </c>
      <c r="B138" s="478"/>
      <c r="C138" s="259">
        <f aca="true" t="shared" si="35" ref="C138:H138">+C85+C137</f>
        <v>0</v>
      </c>
      <c r="D138" s="259">
        <f t="shared" si="35"/>
        <v>0</v>
      </c>
      <c r="E138" s="259">
        <f t="shared" si="35"/>
        <v>0</v>
      </c>
      <c r="F138" s="259">
        <f t="shared" si="35"/>
        <v>0</v>
      </c>
      <c r="G138" s="259">
        <f t="shared" si="35"/>
        <v>0</v>
      </c>
      <c r="H138" s="259">
        <f t="shared" si="35"/>
        <v>0</v>
      </c>
    </row>
    <row r="142" spans="2:4" ht="12.75">
      <c r="B142" s="260"/>
      <c r="C142" s="260"/>
      <c r="D142" s="260"/>
    </row>
    <row r="144" spans="1:7" ht="12.75">
      <c r="A144" s="261"/>
      <c r="B144" s="262"/>
      <c r="C144" s="263"/>
      <c r="D144" s="261"/>
      <c r="G144" s="262"/>
    </row>
    <row r="145" spans="1:7" ht="12.75">
      <c r="A145" s="261"/>
      <c r="B145" s="262"/>
      <c r="C145" s="263"/>
      <c r="D145" s="261"/>
      <c r="G145" s="262"/>
    </row>
    <row r="146" spans="1:7" ht="12.75">
      <c r="A146" s="261"/>
      <c r="B146" s="262"/>
      <c r="C146" s="263"/>
      <c r="D146" s="261"/>
      <c r="G146" s="262"/>
    </row>
    <row r="147" spans="1:3" ht="12.75">
      <c r="A147" s="261"/>
      <c r="B147" s="264"/>
      <c r="C147" s="261"/>
    </row>
    <row r="148" spans="1:9" ht="12.75">
      <c r="A148" s="260"/>
      <c r="B148" s="260"/>
      <c r="C148" s="260"/>
      <c r="D148" s="260"/>
      <c r="E148" s="260"/>
      <c r="F148" s="260"/>
      <c r="G148" s="260"/>
      <c r="H148" s="260"/>
      <c r="I148" s="260"/>
    </row>
    <row r="150" ht="12.75">
      <c r="B150" s="265"/>
    </row>
    <row r="151" spans="1:7" ht="12.75">
      <c r="A151" s="261"/>
      <c r="B151" s="260"/>
      <c r="C151" s="260"/>
      <c r="D151" s="260"/>
      <c r="E151" s="260"/>
      <c r="F151" s="260"/>
      <c r="G151" s="260"/>
    </row>
    <row r="152" spans="1:6" ht="12.75">
      <c r="A152" s="261"/>
      <c r="F152" s="261"/>
    </row>
    <row r="153" spans="1:9" ht="12.75">
      <c r="A153" s="261"/>
      <c r="D153" s="266"/>
      <c r="F153" s="261"/>
      <c r="I153" s="267"/>
    </row>
    <row r="154" ht="12.75">
      <c r="F154" s="261"/>
    </row>
    <row r="155" spans="1:4" ht="12.75">
      <c r="A155" s="263"/>
      <c r="C155" s="268"/>
      <c r="D155" s="261"/>
    </row>
    <row r="156" spans="6:7" ht="12.75">
      <c r="F156" s="261"/>
      <c r="G156" s="261"/>
    </row>
    <row r="157" spans="1:7" ht="12.75">
      <c r="A157" s="261"/>
      <c r="F157" s="261"/>
      <c r="G157" s="261"/>
    </row>
    <row r="158" spans="1:6" ht="12.75">
      <c r="A158" s="261"/>
      <c r="C158" s="269"/>
      <c r="D158" s="269"/>
      <c r="F158" s="270"/>
    </row>
    <row r="159" spans="1:6" ht="12.75">
      <c r="A159" s="261"/>
      <c r="C159" s="269"/>
      <c r="D159" s="269"/>
      <c r="F159" s="270"/>
    </row>
    <row r="160" spans="1:6" ht="12.75">
      <c r="A160" s="261"/>
      <c r="C160" s="269"/>
      <c r="D160" s="269"/>
      <c r="F160" s="270"/>
    </row>
    <row r="161" spans="1:6" ht="12.75">
      <c r="A161" s="261"/>
      <c r="C161" s="269"/>
      <c r="D161" s="269"/>
      <c r="F161" s="270"/>
    </row>
    <row r="162" spans="1:6" ht="12.75">
      <c r="A162" s="261"/>
      <c r="C162" s="269"/>
      <c r="D162" s="269"/>
      <c r="F162" s="270"/>
    </row>
    <row r="163" spans="2:6" ht="12.75">
      <c r="B163" s="268"/>
      <c r="C163" s="269"/>
      <c r="D163" s="269"/>
      <c r="F163" s="270"/>
    </row>
    <row r="165" spans="1:6" ht="12.75">
      <c r="A165" s="261"/>
      <c r="C165" s="271"/>
      <c r="D165" s="271"/>
      <c r="F165" s="270"/>
    </row>
    <row r="166" spans="1:6" ht="12.75">
      <c r="A166" s="261"/>
      <c r="C166" s="269"/>
      <c r="D166" s="269"/>
      <c r="F166" s="270"/>
    </row>
    <row r="167" spans="1:6" ht="12.75">
      <c r="A167" s="261"/>
      <c r="C167" s="269"/>
      <c r="D167" s="269"/>
      <c r="F167" s="270"/>
    </row>
    <row r="168" spans="2:4" ht="12.75">
      <c r="B168" s="268"/>
      <c r="C168" s="269"/>
      <c r="D168" s="269"/>
    </row>
    <row r="170" spans="1:4" ht="12.75">
      <c r="A170" s="261"/>
      <c r="C170" s="269"/>
      <c r="D170" s="269"/>
    </row>
    <row r="172" spans="1:9" ht="12.75">
      <c r="A172" s="260"/>
      <c r="B172" s="260"/>
      <c r="C172" s="260"/>
      <c r="D172" s="260"/>
      <c r="E172" s="260"/>
      <c r="F172" s="260"/>
      <c r="G172" s="260"/>
      <c r="H172" s="260"/>
      <c r="I172" s="260"/>
    </row>
  </sheetData>
  <sheetProtection password="8618" sheet="1" objects="1" scenarios="1"/>
  <mergeCells count="12">
    <mergeCell ref="A11:B11"/>
    <mergeCell ref="A33:B33"/>
    <mergeCell ref="A137:B137"/>
    <mergeCell ref="A4:H4"/>
    <mergeCell ref="A18:B18"/>
    <mergeCell ref="A28:B28"/>
    <mergeCell ref="A138:B138"/>
    <mergeCell ref="A50:B50"/>
    <mergeCell ref="A29:B29"/>
    <mergeCell ref="A51:B51"/>
    <mergeCell ref="A85:B85"/>
    <mergeCell ref="A40:B4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82"/>
  <sheetViews>
    <sheetView showGridLines="0" showZeros="0" workbookViewId="0" topLeftCell="A1">
      <selection activeCell="F20" sqref="F20"/>
    </sheetView>
  </sheetViews>
  <sheetFormatPr defaultColWidth="9.140625" defaultRowHeight="12.75"/>
  <cols>
    <col min="1" max="1" width="30.57421875" style="111" customWidth="1"/>
    <col min="2" max="2" width="8.7109375" style="111" customWidth="1"/>
    <col min="3" max="3" width="13.57421875" style="111" customWidth="1"/>
    <col min="4" max="4" width="12.140625" style="111" customWidth="1"/>
    <col min="5" max="8" width="11.7109375" style="111" customWidth="1"/>
    <col min="9" max="16384" width="8.7109375" style="111" customWidth="1"/>
  </cols>
  <sheetData>
    <row r="1" spans="1:8" ht="12.75">
      <c r="A1" s="101"/>
      <c r="B1" s="101"/>
      <c r="C1" s="90"/>
      <c r="D1" s="90"/>
      <c r="E1" s="90"/>
      <c r="F1" s="90"/>
      <c r="G1" s="91" t="s">
        <v>120</v>
      </c>
      <c r="H1" s="92" t="str">
        <f>+Pressupostos!E1</f>
        <v>XPTO, Lda</v>
      </c>
    </row>
    <row r="2" spans="1:8" ht="12.75">
      <c r="A2" s="101"/>
      <c r="B2" s="101"/>
      <c r="C2" s="101"/>
      <c r="D2" s="101"/>
      <c r="E2" s="101"/>
      <c r="F2" s="101"/>
      <c r="G2" s="101"/>
      <c r="H2" s="95" t="str">
        <f>+Pressupostos!B9</f>
        <v>Euros</v>
      </c>
    </row>
    <row r="3" spans="1:8" ht="12.75">
      <c r="A3" s="101"/>
      <c r="B3" s="101"/>
      <c r="C3" s="101"/>
      <c r="D3" s="101"/>
      <c r="E3" s="101"/>
      <c r="F3" s="101"/>
      <c r="G3" s="101"/>
      <c r="H3" s="95"/>
    </row>
    <row r="4" spans="1:8" ht="15.75">
      <c r="A4" s="458" t="s">
        <v>19</v>
      </c>
      <c r="B4" s="458"/>
      <c r="C4" s="458"/>
      <c r="D4" s="458"/>
      <c r="E4" s="458"/>
      <c r="F4" s="458"/>
      <c r="G4" s="458"/>
      <c r="H4" s="458"/>
    </row>
    <row r="5" spans="1:8" ht="12.75">
      <c r="A5" s="101"/>
      <c r="B5" s="101"/>
      <c r="C5" s="101"/>
      <c r="D5" s="101"/>
      <c r="E5" s="101"/>
      <c r="F5" s="101"/>
      <c r="G5" s="101"/>
      <c r="H5" s="101"/>
    </row>
    <row r="6" spans="1:8" ht="12.75">
      <c r="A6" s="101"/>
      <c r="B6" s="101"/>
      <c r="C6" s="101"/>
      <c r="D6" s="101"/>
      <c r="E6" s="101"/>
      <c r="F6" s="101"/>
      <c r="G6" s="101"/>
      <c r="H6" s="101"/>
    </row>
    <row r="7" spans="1:8" ht="12.75">
      <c r="A7" s="99"/>
      <c r="B7" s="122"/>
      <c r="C7" s="97">
        <f>+VN!C8</f>
        <v>2007</v>
      </c>
      <c r="D7" s="97">
        <f>+VN!D8</f>
        <v>2008</v>
      </c>
      <c r="E7" s="97">
        <f>+VN!E8</f>
        <v>2009</v>
      </c>
      <c r="F7" s="97">
        <f>+VN!F8</f>
        <v>2010</v>
      </c>
      <c r="G7" s="97">
        <f>+VN!G8</f>
        <v>2011</v>
      </c>
      <c r="H7" s="97">
        <f>+VN!H8</f>
        <v>2012</v>
      </c>
    </row>
    <row r="8" spans="1:8" ht="12.75">
      <c r="A8" s="198" t="s">
        <v>265</v>
      </c>
      <c r="B8" s="144"/>
      <c r="C8" s="161">
        <f>Investimento!C29+FundoManeio!C23</f>
        <v>0</v>
      </c>
      <c r="D8" s="161">
        <f>Investimento!D29+FundoManeio!D23</f>
        <v>0</v>
      </c>
      <c r="E8" s="161">
        <f>Investimento!E29+FundoManeio!E23</f>
        <v>0</v>
      </c>
      <c r="F8" s="161">
        <f>Investimento!F29+FundoManeio!F23</f>
        <v>0</v>
      </c>
      <c r="G8" s="161">
        <f>Investimento!G29+FundoManeio!G23</f>
        <v>0</v>
      </c>
      <c r="H8" s="161">
        <f>Investimento!H29+FundoManeio!H23</f>
        <v>0</v>
      </c>
    </row>
    <row r="9" spans="1:8" ht="12.75">
      <c r="A9" s="185" t="s">
        <v>172</v>
      </c>
      <c r="B9" s="144"/>
      <c r="C9" s="71">
        <v>0.02</v>
      </c>
      <c r="D9" s="71">
        <v>0.02</v>
      </c>
      <c r="E9" s="71">
        <v>0.02</v>
      </c>
      <c r="F9" s="71">
        <v>0.02</v>
      </c>
      <c r="G9" s="71">
        <v>0.02</v>
      </c>
      <c r="H9" s="71">
        <v>0.02</v>
      </c>
    </row>
    <row r="10" spans="1:8" ht="13.5" thickBot="1">
      <c r="A10" s="272" t="s">
        <v>173</v>
      </c>
      <c r="B10" s="273"/>
      <c r="C10" s="205">
        <f aca="true" t="shared" si="0" ref="C10:H10">+ROUND(C8*(1+C9),-2)</f>
        <v>0</v>
      </c>
      <c r="D10" s="205">
        <f t="shared" si="0"/>
        <v>0</v>
      </c>
      <c r="E10" s="205">
        <f t="shared" si="0"/>
        <v>0</v>
      </c>
      <c r="F10" s="205">
        <f t="shared" si="0"/>
        <v>0</v>
      </c>
      <c r="G10" s="205">
        <f t="shared" si="0"/>
        <v>0</v>
      </c>
      <c r="H10" s="205">
        <f t="shared" si="0"/>
        <v>0</v>
      </c>
    </row>
    <row r="11" spans="1:8" ht="13.5" thickTop="1">
      <c r="A11" s="101"/>
      <c r="B11" s="101"/>
      <c r="C11" s="274"/>
      <c r="D11" s="274"/>
      <c r="E11" s="274"/>
      <c r="F11" s="274"/>
      <c r="G11" s="274"/>
      <c r="H11" s="274"/>
    </row>
    <row r="12" spans="1:8" ht="12.75">
      <c r="A12" s="101"/>
      <c r="B12" s="101"/>
      <c r="C12" s="274"/>
      <c r="D12" s="274"/>
      <c r="E12" s="274"/>
      <c r="F12" s="274"/>
      <c r="G12" s="274"/>
      <c r="H12" s="274"/>
    </row>
    <row r="13" spans="1:8" ht="12.75">
      <c r="A13" s="198" t="s">
        <v>264</v>
      </c>
      <c r="B13" s="144"/>
      <c r="C13" s="97">
        <f aca="true" t="shared" si="1" ref="C13:H13">+C7</f>
        <v>2007</v>
      </c>
      <c r="D13" s="97">
        <f t="shared" si="1"/>
        <v>2008</v>
      </c>
      <c r="E13" s="97">
        <f t="shared" si="1"/>
        <v>2009</v>
      </c>
      <c r="F13" s="97">
        <f t="shared" si="1"/>
        <v>2010</v>
      </c>
      <c r="G13" s="97">
        <f t="shared" si="1"/>
        <v>2011</v>
      </c>
      <c r="H13" s="97">
        <f t="shared" si="1"/>
        <v>2012</v>
      </c>
    </row>
    <row r="14" spans="1:8" ht="12.75">
      <c r="A14" s="102" t="s">
        <v>192</v>
      </c>
      <c r="B14" s="144"/>
      <c r="C14" s="204">
        <f>IF(+'Cash Flow'!C12&gt;0,'Cash Flow'!C12,0)</f>
        <v>0</v>
      </c>
      <c r="D14" s="204">
        <f>IF(+'Cash Flow'!D12&gt;0,'Cash Flow'!D12,0)</f>
        <v>0</v>
      </c>
      <c r="E14" s="204">
        <f>IF(+'Cash Flow'!E12&gt;0,'Cash Flow'!E12,0)</f>
        <v>0</v>
      </c>
      <c r="F14" s="204">
        <f>IF(+'Cash Flow'!F12&gt;0,'Cash Flow'!F12,0)</f>
        <v>0</v>
      </c>
      <c r="G14" s="204">
        <f>IF(+'Cash Flow'!G12&gt;0,'Cash Flow'!G12,0)</f>
        <v>0</v>
      </c>
      <c r="H14" s="204">
        <f>IF(+'Cash Flow'!H12&gt;0,'Cash Flow'!H12,0)</f>
        <v>0</v>
      </c>
    </row>
    <row r="15" spans="1:8" ht="12.75">
      <c r="A15" s="102" t="s">
        <v>107</v>
      </c>
      <c r="B15" s="144"/>
      <c r="C15" s="87"/>
      <c r="D15" s="87"/>
      <c r="E15" s="87"/>
      <c r="F15" s="87"/>
      <c r="G15" s="87"/>
      <c r="H15" s="87"/>
    </row>
    <row r="16" spans="1:8" ht="12.75">
      <c r="A16" s="102" t="s">
        <v>325</v>
      </c>
      <c r="B16" s="144"/>
      <c r="C16" s="87"/>
      <c r="D16" s="87"/>
      <c r="E16" s="87"/>
      <c r="F16" s="87">
        <v>0</v>
      </c>
      <c r="G16" s="87">
        <v>0</v>
      </c>
      <c r="H16" s="87">
        <v>0</v>
      </c>
    </row>
    <row r="17" spans="1:8" ht="12.75">
      <c r="A17" s="102" t="s">
        <v>326</v>
      </c>
      <c r="B17" s="122"/>
      <c r="C17" s="63"/>
      <c r="D17" s="63"/>
      <c r="E17" s="63"/>
      <c r="F17" s="63"/>
      <c r="G17" s="63"/>
      <c r="H17" s="63"/>
    </row>
    <row r="18" spans="1:8" ht="14.25" customHeight="1" thickBot="1">
      <c r="A18" s="460" t="s">
        <v>174</v>
      </c>
      <c r="B18" s="462"/>
      <c r="C18" s="205">
        <f aca="true" t="shared" si="2" ref="C18:H18">+C15+C16+C14+C17</f>
        <v>0</v>
      </c>
      <c r="D18" s="205">
        <f t="shared" si="2"/>
        <v>0</v>
      </c>
      <c r="E18" s="205">
        <f t="shared" si="2"/>
        <v>0</v>
      </c>
      <c r="F18" s="205">
        <f t="shared" si="2"/>
        <v>0</v>
      </c>
      <c r="G18" s="205">
        <f t="shared" si="2"/>
        <v>0</v>
      </c>
      <c r="H18" s="205">
        <f t="shared" si="2"/>
        <v>0</v>
      </c>
    </row>
    <row r="19" spans="1:8" ht="13.5" thickTop="1">
      <c r="A19" s="101"/>
      <c r="B19" s="101"/>
      <c r="C19" s="275"/>
      <c r="D19" s="275"/>
      <c r="E19" s="275"/>
      <c r="F19" s="275"/>
      <c r="G19" s="275"/>
      <c r="H19" s="275"/>
    </row>
    <row r="20" spans="1:8" ht="12.75">
      <c r="A20" s="101"/>
      <c r="B20" s="101"/>
      <c r="C20" s="276"/>
      <c r="D20" s="276"/>
      <c r="E20" s="276"/>
      <c r="F20" s="276"/>
      <c r="G20" s="276"/>
      <c r="H20" s="276"/>
    </row>
    <row r="21" spans="1:8" ht="12.75">
      <c r="A21" s="101"/>
      <c r="B21" s="101"/>
      <c r="C21" s="101"/>
      <c r="D21" s="101"/>
      <c r="E21" s="101"/>
      <c r="F21" s="101"/>
      <c r="G21" s="101"/>
      <c r="H21" s="101"/>
    </row>
    <row r="22" spans="1:8" ht="12.75">
      <c r="A22" s="292">
        <f>+C13</f>
        <v>2007</v>
      </c>
      <c r="B22" s="101"/>
      <c r="C22" s="101"/>
      <c r="D22" s="101"/>
      <c r="E22" s="101"/>
      <c r="F22" s="101"/>
      <c r="G22" s="101"/>
      <c r="H22" s="101"/>
    </row>
    <row r="23" spans="1:8" ht="12.75">
      <c r="A23" s="102" t="s">
        <v>327</v>
      </c>
      <c r="B23" s="122"/>
      <c r="C23" s="278">
        <f>+C17</f>
        <v>0</v>
      </c>
      <c r="D23" s="204">
        <f>+C29</f>
        <v>0</v>
      </c>
      <c r="E23" s="204">
        <f>+D29</f>
        <v>0</v>
      </c>
      <c r="F23" s="204">
        <f>+E29</f>
        <v>0</v>
      </c>
      <c r="G23" s="204">
        <f>+F29</f>
        <v>0</v>
      </c>
      <c r="H23" s="204">
        <f>+G29</f>
        <v>0</v>
      </c>
    </row>
    <row r="24" spans="1:8" ht="12.75">
      <c r="A24" s="102" t="s">
        <v>16</v>
      </c>
      <c r="B24" s="122"/>
      <c r="C24" s="280">
        <f>+Pressupostos!$B$26</f>
        <v>0.05</v>
      </c>
      <c r="D24" s="280">
        <f>+Pressupostos!$B$26</f>
        <v>0.05</v>
      </c>
      <c r="E24" s="280">
        <f>+Pressupostos!$B$26</f>
        <v>0.05</v>
      </c>
      <c r="F24" s="280">
        <f>+Pressupostos!$B$26</f>
        <v>0.05</v>
      </c>
      <c r="G24" s="280">
        <f>+Pressupostos!$B$26</f>
        <v>0.05</v>
      </c>
      <c r="H24" s="280">
        <f>+Pressupostos!$B$26</f>
        <v>0.05</v>
      </c>
    </row>
    <row r="25" spans="1:8" ht="12.75">
      <c r="A25" s="102" t="s">
        <v>17</v>
      </c>
      <c r="B25" s="122"/>
      <c r="C25" s="204">
        <f>+C23*C24*FSE!F8/12</f>
        <v>0</v>
      </c>
      <c r="D25" s="204">
        <f>+D23*D24</f>
        <v>0</v>
      </c>
      <c r="E25" s="204">
        <f>+E23*E24</f>
        <v>0</v>
      </c>
      <c r="F25" s="204">
        <f>+F23*F24</f>
        <v>0</v>
      </c>
      <c r="G25" s="204">
        <f>+G23*G24</f>
        <v>0</v>
      </c>
      <c r="H25" s="204">
        <f>+H23*H24</f>
        <v>0</v>
      </c>
    </row>
    <row r="26" spans="1:8" ht="12.75">
      <c r="A26" s="102" t="s">
        <v>18</v>
      </c>
      <c r="B26" s="122"/>
      <c r="C26" s="294"/>
      <c r="D26" s="204">
        <f>+$C$23/5</f>
        <v>0</v>
      </c>
      <c r="E26" s="204">
        <f>+$C$23/5</f>
        <v>0</v>
      </c>
      <c r="F26" s="204">
        <f>+$C$23/5</f>
        <v>0</v>
      </c>
      <c r="G26" s="204">
        <f>+$C$23/5</f>
        <v>0</v>
      </c>
      <c r="H26" s="204">
        <f>+$C$23/5</f>
        <v>0</v>
      </c>
    </row>
    <row r="27" spans="1:8" ht="12.75">
      <c r="A27" s="102" t="s">
        <v>271</v>
      </c>
      <c r="B27" s="122"/>
      <c r="C27" s="204">
        <f aca="true" t="shared" si="3" ref="C27:H27">+C25*0.004</f>
        <v>0</v>
      </c>
      <c r="D27" s="204">
        <f t="shared" si="3"/>
        <v>0</v>
      </c>
      <c r="E27" s="204">
        <f t="shared" si="3"/>
        <v>0</v>
      </c>
      <c r="F27" s="204">
        <f t="shared" si="3"/>
        <v>0</v>
      </c>
      <c r="G27" s="204">
        <f t="shared" si="3"/>
        <v>0</v>
      </c>
      <c r="H27" s="204">
        <f t="shared" si="3"/>
        <v>0</v>
      </c>
    </row>
    <row r="28" spans="1:8" ht="12.75">
      <c r="A28" s="102" t="s">
        <v>329</v>
      </c>
      <c r="B28" s="122"/>
      <c r="C28" s="204">
        <f aca="true" t="shared" si="4" ref="C28:H28">+C25+C26+C27</f>
        <v>0</v>
      </c>
      <c r="D28" s="204">
        <f t="shared" si="4"/>
        <v>0</v>
      </c>
      <c r="E28" s="204">
        <f t="shared" si="4"/>
        <v>0</v>
      </c>
      <c r="F28" s="204">
        <f t="shared" si="4"/>
        <v>0</v>
      </c>
      <c r="G28" s="204">
        <f t="shared" si="4"/>
        <v>0</v>
      </c>
      <c r="H28" s="204">
        <f t="shared" si="4"/>
        <v>0</v>
      </c>
    </row>
    <row r="29" spans="1:8" ht="12.75">
      <c r="A29" s="102" t="s">
        <v>328</v>
      </c>
      <c r="B29" s="122"/>
      <c r="C29" s="282">
        <f>+C23-C26</f>
        <v>0</v>
      </c>
      <c r="D29" s="204">
        <f>+D23-D26</f>
        <v>0</v>
      </c>
      <c r="E29" s="204">
        <f>+E23-E26</f>
        <v>0</v>
      </c>
      <c r="F29" s="204">
        <f>+F23-F26</f>
        <v>0</v>
      </c>
      <c r="G29" s="204">
        <f>+G23-G26</f>
        <v>0</v>
      </c>
      <c r="H29" s="293"/>
    </row>
    <row r="30" spans="1:8" ht="12.75">
      <c r="A30" s="101"/>
      <c r="B30" s="101"/>
      <c r="C30" s="101"/>
      <c r="D30" s="101"/>
      <c r="E30" s="101"/>
      <c r="F30" s="101"/>
      <c r="G30" s="101"/>
      <c r="H30" s="101"/>
    </row>
    <row r="31" spans="1:8" ht="12.75">
      <c r="A31" s="292">
        <f>+D13</f>
        <v>2008</v>
      </c>
      <c r="B31" s="101"/>
      <c r="C31" s="101"/>
      <c r="D31" s="101"/>
      <c r="E31" s="101"/>
      <c r="F31" s="101"/>
      <c r="G31" s="101"/>
      <c r="H31" s="101"/>
    </row>
    <row r="32" spans="1:8" ht="12.75">
      <c r="A32" s="102" t="s">
        <v>327</v>
      </c>
      <c r="B32" s="122"/>
      <c r="C32" s="278">
        <f>+C25</f>
        <v>0</v>
      </c>
      <c r="D32" s="204">
        <f>+D17</f>
        <v>0</v>
      </c>
      <c r="E32" s="204">
        <f>+D38</f>
        <v>0</v>
      </c>
      <c r="F32" s="204">
        <f>+E38</f>
        <v>0</v>
      </c>
      <c r="G32" s="204">
        <f>+F38</f>
        <v>0</v>
      </c>
      <c r="H32" s="204">
        <f>+G38</f>
        <v>0</v>
      </c>
    </row>
    <row r="33" spans="1:8" ht="12.75">
      <c r="A33" s="102" t="s">
        <v>16</v>
      </c>
      <c r="B33" s="122"/>
      <c r="C33" s="279"/>
      <c r="D33" s="280">
        <f>+Pressupostos!$B$26</f>
        <v>0.05</v>
      </c>
      <c r="E33" s="280">
        <f>+Pressupostos!$B$26</f>
        <v>0.05</v>
      </c>
      <c r="F33" s="280">
        <f>+Pressupostos!$B$26</f>
        <v>0.05</v>
      </c>
      <c r="G33" s="280">
        <f>+Pressupostos!$B$26</f>
        <v>0.05</v>
      </c>
      <c r="H33" s="280">
        <f>+Pressupostos!$B$26</f>
        <v>0.05</v>
      </c>
    </row>
    <row r="34" spans="1:8" ht="12.75">
      <c r="A34" s="102" t="s">
        <v>17</v>
      </c>
      <c r="B34" s="122"/>
      <c r="C34" s="281"/>
      <c r="D34" s="204">
        <f>+D32*D33</f>
        <v>0</v>
      </c>
      <c r="E34" s="204">
        <f>+E32*E33</f>
        <v>0</v>
      </c>
      <c r="F34" s="204">
        <f>+F32*F33</f>
        <v>0</v>
      </c>
      <c r="G34" s="204">
        <f>+G32*G33</f>
        <v>0</v>
      </c>
      <c r="H34" s="204">
        <f>+H32*H33</f>
        <v>0</v>
      </c>
    </row>
    <row r="35" spans="1:8" ht="12.75">
      <c r="A35" s="102" t="s">
        <v>18</v>
      </c>
      <c r="B35" s="122"/>
      <c r="C35" s="281"/>
      <c r="D35" s="204">
        <f>+$D$32/5</f>
        <v>0</v>
      </c>
      <c r="E35" s="204">
        <f>+$D$32/5</f>
        <v>0</v>
      </c>
      <c r="F35" s="204">
        <f>+$D$32/5</f>
        <v>0</v>
      </c>
      <c r="G35" s="204">
        <f>+$D$32/5</f>
        <v>0</v>
      </c>
      <c r="H35" s="204">
        <f>+$D$32/5</f>
        <v>0</v>
      </c>
    </row>
    <row r="36" spans="1:8" ht="12.75">
      <c r="A36" s="102" t="s">
        <v>271</v>
      </c>
      <c r="B36" s="122"/>
      <c r="C36" s="281"/>
      <c r="D36" s="204">
        <f>0.004*D34</f>
        <v>0</v>
      </c>
      <c r="E36" s="204">
        <f>0.004*E34</f>
        <v>0</v>
      </c>
      <c r="F36" s="204">
        <f>0.004*F34</f>
        <v>0</v>
      </c>
      <c r="G36" s="204">
        <f>0.004*G34</f>
        <v>0</v>
      </c>
      <c r="H36" s="204">
        <f>0.004*H34</f>
        <v>0</v>
      </c>
    </row>
    <row r="37" spans="1:8" ht="12.75">
      <c r="A37" s="102" t="s">
        <v>329</v>
      </c>
      <c r="B37" s="122"/>
      <c r="C37" s="281"/>
      <c r="D37" s="204">
        <f>+D34+D35+D36</f>
        <v>0</v>
      </c>
      <c r="E37" s="204">
        <f>+E34+E35+E36</f>
        <v>0</v>
      </c>
      <c r="F37" s="204">
        <f>+F34+F35+F36</f>
        <v>0</v>
      </c>
      <c r="G37" s="204">
        <f>+G34+G35+G36</f>
        <v>0</v>
      </c>
      <c r="H37" s="204">
        <f>+H34+H35+H36</f>
        <v>0</v>
      </c>
    </row>
    <row r="38" spans="1:8" ht="12.75">
      <c r="A38" s="102" t="s">
        <v>328</v>
      </c>
      <c r="B38" s="122"/>
      <c r="C38" s="283"/>
      <c r="D38" s="204">
        <f>+D32-D35</f>
        <v>0</v>
      </c>
      <c r="E38" s="204">
        <f>+E32-E35</f>
        <v>0</v>
      </c>
      <c r="F38" s="204">
        <f>+F32-F35</f>
        <v>0</v>
      </c>
      <c r="G38" s="204">
        <f>+G32-G35</f>
        <v>0</v>
      </c>
      <c r="H38" s="204">
        <f>+H32-H35</f>
        <v>0</v>
      </c>
    </row>
    <row r="39" spans="1:8" ht="12.75">
      <c r="A39" s="101"/>
      <c r="B39" s="101"/>
      <c r="C39" s="101"/>
      <c r="D39" s="101"/>
      <c r="E39" s="101"/>
      <c r="F39" s="101"/>
      <c r="G39" s="101"/>
      <c r="H39" s="101"/>
    </row>
    <row r="40" spans="1:8" ht="12.75">
      <c r="A40" s="292">
        <f>+E13</f>
        <v>2009</v>
      </c>
      <c r="B40" s="101"/>
      <c r="C40" s="101"/>
      <c r="D40" s="101"/>
      <c r="E40" s="101"/>
      <c r="F40" s="101"/>
      <c r="G40" s="101"/>
      <c r="H40" s="101"/>
    </row>
    <row r="41" spans="1:8" ht="12.75">
      <c r="A41" s="102" t="s">
        <v>327</v>
      </c>
      <c r="B41" s="122"/>
      <c r="C41" s="284">
        <f>+C34</f>
        <v>0</v>
      </c>
      <c r="D41" s="290"/>
      <c r="E41" s="204">
        <f>+E17</f>
        <v>0</v>
      </c>
      <c r="F41" s="204">
        <f>+E47</f>
        <v>0</v>
      </c>
      <c r="G41" s="204">
        <f>+F47</f>
        <v>0</v>
      </c>
      <c r="H41" s="204">
        <f>+G47</f>
        <v>0</v>
      </c>
    </row>
    <row r="42" spans="1:8" ht="12.75">
      <c r="A42" s="102" t="s">
        <v>16</v>
      </c>
      <c r="B42" s="122"/>
      <c r="C42" s="286"/>
      <c r="D42" s="287"/>
      <c r="E42" s="280">
        <f>+Pressupostos!$B$26</f>
        <v>0.05</v>
      </c>
      <c r="F42" s="280">
        <f>+Pressupostos!$B$26</f>
        <v>0.05</v>
      </c>
      <c r="G42" s="280">
        <f>+Pressupostos!$B$26</f>
        <v>0.05</v>
      </c>
      <c r="H42" s="280">
        <f>+Pressupostos!$B$26</f>
        <v>0.05</v>
      </c>
    </row>
    <row r="43" spans="1:8" ht="12.75">
      <c r="A43" s="102" t="s">
        <v>17</v>
      </c>
      <c r="B43" s="122"/>
      <c r="C43" s="288"/>
      <c r="D43" s="289"/>
      <c r="E43" s="204">
        <f>+E41*E42</f>
        <v>0</v>
      </c>
      <c r="F43" s="282">
        <f>+F41*F42</f>
        <v>0</v>
      </c>
      <c r="G43" s="282">
        <f>+G41*G42</f>
        <v>0</v>
      </c>
      <c r="H43" s="282">
        <f>+H41*H42</f>
        <v>0</v>
      </c>
    </row>
    <row r="44" spans="1:8" ht="12.75">
      <c r="A44" s="102" t="s">
        <v>18</v>
      </c>
      <c r="B44" s="122"/>
      <c r="C44" s="288"/>
      <c r="D44" s="289"/>
      <c r="E44" s="204">
        <f>+$E$41/5</f>
        <v>0</v>
      </c>
      <c r="F44" s="282">
        <f>+$E$41/5</f>
        <v>0</v>
      </c>
      <c r="G44" s="282">
        <f>+$E$41/5</f>
        <v>0</v>
      </c>
      <c r="H44" s="282">
        <f>+$E$41/5</f>
        <v>0</v>
      </c>
    </row>
    <row r="45" spans="1:8" ht="12.75">
      <c r="A45" s="102" t="s">
        <v>271</v>
      </c>
      <c r="B45" s="122"/>
      <c r="C45" s="288"/>
      <c r="D45" s="289"/>
      <c r="E45" s="204">
        <f>0.004*E43</f>
        <v>0</v>
      </c>
      <c r="F45" s="282">
        <f>0.004*F43</f>
        <v>0</v>
      </c>
      <c r="G45" s="282">
        <f>0.004*G43</f>
        <v>0</v>
      </c>
      <c r="H45" s="282">
        <f>0.004*H43</f>
        <v>0</v>
      </c>
    </row>
    <row r="46" spans="1:8" ht="12.75">
      <c r="A46" s="102" t="s">
        <v>329</v>
      </c>
      <c r="B46" s="122"/>
      <c r="C46" s="288"/>
      <c r="D46" s="289"/>
      <c r="E46" s="204">
        <f>+E43+E44+E45</f>
        <v>0</v>
      </c>
      <c r="F46" s="282">
        <f>+F43+F44+F45</f>
        <v>0</v>
      </c>
      <c r="G46" s="282">
        <f>+G43+G44+G45</f>
        <v>0</v>
      </c>
      <c r="H46" s="282">
        <f>+H43+H44+H45</f>
        <v>0</v>
      </c>
    </row>
    <row r="47" spans="1:8" ht="12.75">
      <c r="A47" s="102" t="s">
        <v>118</v>
      </c>
      <c r="B47" s="122"/>
      <c r="C47" s="283"/>
      <c r="D47" s="289"/>
      <c r="E47" s="204">
        <f>+E41-E44</f>
        <v>0</v>
      </c>
      <c r="F47" s="282">
        <f>+F41-F44</f>
        <v>0</v>
      </c>
      <c r="G47" s="282">
        <f>+G41-G44</f>
        <v>0</v>
      </c>
      <c r="H47" s="282">
        <f>+H41-H44</f>
        <v>0</v>
      </c>
    </row>
    <row r="48" spans="1:8" ht="12.75">
      <c r="A48" s="101"/>
      <c r="B48" s="101"/>
      <c r="C48" s="101"/>
      <c r="D48" s="101"/>
      <c r="E48" s="101"/>
      <c r="F48" s="101"/>
      <c r="G48" s="101"/>
      <c r="H48" s="101"/>
    </row>
    <row r="49" spans="1:8" ht="12.75">
      <c r="A49" s="292">
        <f>+F13</f>
        <v>2010</v>
      </c>
      <c r="B49" s="101"/>
      <c r="C49" s="101"/>
      <c r="D49" s="101"/>
      <c r="E49" s="101"/>
      <c r="F49" s="101"/>
      <c r="G49" s="101"/>
      <c r="H49" s="101"/>
    </row>
    <row r="50" spans="1:8" ht="12.75">
      <c r="A50" s="102" t="s">
        <v>327</v>
      </c>
      <c r="B50" s="122"/>
      <c r="C50" s="284">
        <f>+C43</f>
        <v>0</v>
      </c>
      <c r="D50" s="290"/>
      <c r="E50" s="285"/>
      <c r="F50" s="204">
        <f>+F17</f>
        <v>0</v>
      </c>
      <c r="G50" s="204">
        <f>+F56</f>
        <v>0</v>
      </c>
      <c r="H50" s="204">
        <f>+G56</f>
        <v>0</v>
      </c>
    </row>
    <row r="51" spans="1:8" ht="12.75">
      <c r="A51" s="102" t="s">
        <v>16</v>
      </c>
      <c r="B51" s="122"/>
      <c r="C51" s="286"/>
      <c r="D51" s="287"/>
      <c r="E51" s="287"/>
      <c r="F51" s="280">
        <f>+Pressupostos!$B$26</f>
        <v>0.05</v>
      </c>
      <c r="G51" s="280">
        <f>+Pressupostos!$B$26</f>
        <v>0.05</v>
      </c>
      <c r="H51" s="280">
        <f>+Pressupostos!$B$26</f>
        <v>0.05</v>
      </c>
    </row>
    <row r="52" spans="1:8" ht="12.75">
      <c r="A52" s="102" t="s">
        <v>17</v>
      </c>
      <c r="B52" s="122"/>
      <c r="C52" s="288"/>
      <c r="D52" s="289"/>
      <c r="E52" s="289"/>
      <c r="F52" s="204">
        <f>+F50*F51</f>
        <v>0</v>
      </c>
      <c r="G52" s="282">
        <f>+G50*G51</f>
        <v>0</v>
      </c>
      <c r="H52" s="282">
        <f>+H50*H51</f>
        <v>0</v>
      </c>
    </row>
    <row r="53" spans="1:8" ht="12.75">
      <c r="A53" s="102" t="s">
        <v>18</v>
      </c>
      <c r="B53" s="122"/>
      <c r="C53" s="288"/>
      <c r="D53" s="289"/>
      <c r="E53" s="289"/>
      <c r="F53" s="204">
        <f>$F$50/5</f>
        <v>0</v>
      </c>
      <c r="G53" s="282">
        <f>$F$50/5</f>
        <v>0</v>
      </c>
      <c r="H53" s="282">
        <f>$F$50/5</f>
        <v>0</v>
      </c>
    </row>
    <row r="54" spans="1:8" ht="12.75">
      <c r="A54" s="102" t="s">
        <v>271</v>
      </c>
      <c r="B54" s="122"/>
      <c r="C54" s="288"/>
      <c r="D54" s="289"/>
      <c r="E54" s="289"/>
      <c r="F54" s="204">
        <f>+F52*0.004</f>
        <v>0</v>
      </c>
      <c r="G54" s="282">
        <f>+G52*0.004</f>
        <v>0</v>
      </c>
      <c r="H54" s="282">
        <f>+H52*0.004</f>
        <v>0</v>
      </c>
    </row>
    <row r="55" spans="1:8" ht="12.75">
      <c r="A55" s="102" t="s">
        <v>329</v>
      </c>
      <c r="B55" s="122"/>
      <c r="C55" s="288"/>
      <c r="D55" s="289"/>
      <c r="E55" s="289"/>
      <c r="F55" s="204">
        <f>+F52+F53+F54</f>
        <v>0</v>
      </c>
      <c r="G55" s="282">
        <f>+G52+G53+G54</f>
        <v>0</v>
      </c>
      <c r="H55" s="282">
        <f>+H52+H53+H54</f>
        <v>0</v>
      </c>
    </row>
    <row r="56" spans="1:8" ht="12.75">
      <c r="A56" s="102" t="s">
        <v>328</v>
      </c>
      <c r="B56" s="122"/>
      <c r="C56" s="283"/>
      <c r="D56" s="289"/>
      <c r="E56" s="289"/>
      <c r="F56" s="204">
        <f>+F50-F53</f>
        <v>0</v>
      </c>
      <c r="G56" s="282">
        <f>+G50-G53</f>
        <v>0</v>
      </c>
      <c r="H56" s="282">
        <f>+H50-H53</f>
        <v>0</v>
      </c>
    </row>
    <row r="57" spans="1:8" ht="12.75">
      <c r="A57" s="101"/>
      <c r="B57" s="101"/>
      <c r="C57" s="101"/>
      <c r="D57" s="101"/>
      <c r="E57" s="101"/>
      <c r="F57" s="101"/>
      <c r="G57" s="101"/>
      <c r="H57" s="101"/>
    </row>
    <row r="58" spans="1:8" ht="12.75">
      <c r="A58" s="292">
        <f>+G13</f>
        <v>2011</v>
      </c>
      <c r="B58" s="101"/>
      <c r="C58" s="101"/>
      <c r="D58" s="101"/>
      <c r="E58" s="101"/>
      <c r="F58" s="101"/>
      <c r="G58" s="101"/>
      <c r="H58" s="101"/>
    </row>
    <row r="59" spans="1:8" ht="12.75">
      <c r="A59" s="102" t="s">
        <v>327</v>
      </c>
      <c r="B59" s="122"/>
      <c r="C59" s="284">
        <f>+C52</f>
        <v>0</v>
      </c>
      <c r="D59" s="290"/>
      <c r="E59" s="289"/>
      <c r="F59" s="290"/>
      <c r="G59" s="204">
        <f>+G17</f>
        <v>0</v>
      </c>
      <c r="H59" s="204">
        <f>+G65</f>
        <v>0</v>
      </c>
    </row>
    <row r="60" spans="1:8" ht="12.75">
      <c r="A60" s="102" t="s">
        <v>16</v>
      </c>
      <c r="B60" s="122"/>
      <c r="C60" s="286"/>
      <c r="D60" s="287"/>
      <c r="E60" s="287"/>
      <c r="F60" s="287"/>
      <c r="G60" s="280">
        <f>+Pressupostos!$B$26</f>
        <v>0.05</v>
      </c>
      <c r="H60" s="280">
        <f>+Pressupostos!$B$26</f>
        <v>0.05</v>
      </c>
    </row>
    <row r="61" spans="1:8" ht="12.75">
      <c r="A61" s="102" t="s">
        <v>17</v>
      </c>
      <c r="B61" s="122"/>
      <c r="C61" s="288"/>
      <c r="D61" s="289"/>
      <c r="E61" s="289"/>
      <c r="F61" s="289"/>
      <c r="G61" s="204">
        <f>+G59*G60</f>
        <v>0</v>
      </c>
      <c r="H61" s="282">
        <f>+H59*H60</f>
        <v>0</v>
      </c>
    </row>
    <row r="62" spans="1:8" ht="12.75">
      <c r="A62" s="102" t="s">
        <v>18</v>
      </c>
      <c r="B62" s="122"/>
      <c r="C62" s="288"/>
      <c r="D62" s="289"/>
      <c r="E62" s="289"/>
      <c r="F62" s="289"/>
      <c r="G62" s="204">
        <f>$G$59/5</f>
        <v>0</v>
      </c>
      <c r="H62" s="282">
        <f>$G$59/5</f>
        <v>0</v>
      </c>
    </row>
    <row r="63" spans="1:8" ht="12.75">
      <c r="A63" s="102" t="s">
        <v>271</v>
      </c>
      <c r="B63" s="122"/>
      <c r="C63" s="288"/>
      <c r="D63" s="289"/>
      <c r="E63" s="289"/>
      <c r="F63" s="289"/>
      <c r="G63" s="204">
        <f>+G61*0.004</f>
        <v>0</v>
      </c>
      <c r="H63" s="282">
        <f>+H61*0.004</f>
        <v>0</v>
      </c>
    </row>
    <row r="64" spans="1:8" ht="12.75">
      <c r="A64" s="102" t="s">
        <v>329</v>
      </c>
      <c r="B64" s="122"/>
      <c r="C64" s="288"/>
      <c r="D64" s="289"/>
      <c r="E64" s="289"/>
      <c r="F64" s="289"/>
      <c r="G64" s="204">
        <f>+G61+G62+G63</f>
        <v>0</v>
      </c>
      <c r="H64" s="282">
        <f>+H61+H62+H63</f>
        <v>0</v>
      </c>
    </row>
    <row r="65" spans="1:8" ht="12.75">
      <c r="A65" s="102" t="s">
        <v>328</v>
      </c>
      <c r="B65" s="122"/>
      <c r="C65" s="283"/>
      <c r="D65" s="289"/>
      <c r="E65" s="289"/>
      <c r="F65" s="289"/>
      <c r="G65" s="204">
        <f>+G59-G62</f>
        <v>0</v>
      </c>
      <c r="H65" s="204">
        <f>+H59-H62</f>
        <v>0</v>
      </c>
    </row>
    <row r="66" spans="1:8" ht="12.75">
      <c r="A66" s="101"/>
      <c r="B66" s="101"/>
      <c r="C66" s="101"/>
      <c r="D66" s="101"/>
      <c r="E66" s="101"/>
      <c r="F66" s="101"/>
      <c r="G66" s="101"/>
      <c r="H66" s="101"/>
    </row>
    <row r="67" spans="1:8" ht="12.75">
      <c r="A67" s="292">
        <f>+H13</f>
        <v>2012</v>
      </c>
      <c r="B67" s="101"/>
      <c r="C67" s="101"/>
      <c r="D67" s="101"/>
      <c r="E67" s="101"/>
      <c r="F67" s="101"/>
      <c r="G67" s="101"/>
      <c r="H67" s="101"/>
    </row>
    <row r="68" spans="1:8" ht="12.75">
      <c r="A68" s="102" t="s">
        <v>327</v>
      </c>
      <c r="B68" s="122"/>
      <c r="C68" s="284">
        <f>+C61</f>
        <v>0</v>
      </c>
      <c r="D68" s="290"/>
      <c r="E68" s="290"/>
      <c r="F68" s="290"/>
      <c r="G68" s="290"/>
      <c r="H68" s="204">
        <f>+H17</f>
        <v>0</v>
      </c>
    </row>
    <row r="69" spans="1:8" ht="12.75">
      <c r="A69" s="102" t="s">
        <v>16</v>
      </c>
      <c r="B69" s="122"/>
      <c r="C69" s="286"/>
      <c r="D69" s="287"/>
      <c r="E69" s="287"/>
      <c r="F69" s="287"/>
      <c r="G69" s="287"/>
      <c r="H69" s="280">
        <f>+Pressupostos!$B$26</f>
        <v>0.05</v>
      </c>
    </row>
    <row r="70" spans="1:8" ht="12.75">
      <c r="A70" s="102" t="s">
        <v>17</v>
      </c>
      <c r="B70" s="122"/>
      <c r="C70" s="288"/>
      <c r="D70" s="289"/>
      <c r="E70" s="289"/>
      <c r="F70" s="289"/>
      <c r="G70" s="289"/>
      <c r="H70" s="204">
        <f>+H68*H69</f>
        <v>0</v>
      </c>
    </row>
    <row r="71" spans="1:8" ht="12.75">
      <c r="A71" s="102" t="s">
        <v>18</v>
      </c>
      <c r="B71" s="122"/>
      <c r="C71" s="288"/>
      <c r="D71" s="289"/>
      <c r="E71" s="289"/>
      <c r="F71" s="289"/>
      <c r="G71" s="289"/>
      <c r="H71" s="204">
        <f>$H$68/5</f>
        <v>0</v>
      </c>
    </row>
    <row r="72" spans="1:8" ht="12.75">
      <c r="A72" s="102" t="s">
        <v>271</v>
      </c>
      <c r="B72" s="122"/>
      <c r="C72" s="288"/>
      <c r="D72" s="289"/>
      <c r="E72" s="289"/>
      <c r="F72" s="289"/>
      <c r="G72" s="289"/>
      <c r="H72" s="204">
        <f>0.004*H70</f>
        <v>0</v>
      </c>
    </row>
    <row r="73" spans="1:8" ht="12.75">
      <c r="A73" s="102" t="s">
        <v>329</v>
      </c>
      <c r="B73" s="122"/>
      <c r="C73" s="288"/>
      <c r="D73" s="289"/>
      <c r="E73" s="289"/>
      <c r="F73" s="289"/>
      <c r="G73" s="289"/>
      <c r="H73" s="204">
        <f>+H70+H71+H72</f>
        <v>0</v>
      </c>
    </row>
    <row r="74" spans="1:8" ht="12.75">
      <c r="A74" s="102" t="s">
        <v>328</v>
      </c>
      <c r="B74" s="122"/>
      <c r="C74" s="283"/>
      <c r="D74" s="289"/>
      <c r="E74" s="289"/>
      <c r="F74" s="289"/>
      <c r="G74" s="289"/>
      <c r="H74" s="204">
        <f>+H68-H71</f>
        <v>0</v>
      </c>
    </row>
    <row r="75" spans="1:8" ht="12.75">
      <c r="A75" s="101"/>
      <c r="B75" s="101"/>
      <c r="C75" s="101"/>
      <c r="D75" s="101"/>
      <c r="E75" s="101"/>
      <c r="F75" s="101"/>
      <c r="G75" s="101"/>
      <c r="H75" s="101"/>
    </row>
    <row r="76" spans="1:8" ht="12.75">
      <c r="A76" s="101"/>
      <c r="B76" s="101"/>
      <c r="C76" s="101"/>
      <c r="D76" s="291"/>
      <c r="E76" s="101"/>
      <c r="F76" s="101"/>
      <c r="G76" s="101"/>
      <c r="H76" s="101"/>
    </row>
    <row r="77" spans="1:8" ht="12.75">
      <c r="A77" s="198" t="s">
        <v>330</v>
      </c>
      <c r="B77" s="144"/>
      <c r="C77" s="161">
        <f aca="true" t="shared" si="5" ref="C77:H77">+C29+C38+C47+C56+C65+C74</f>
        <v>0</v>
      </c>
      <c r="D77" s="161">
        <f t="shared" si="5"/>
        <v>0</v>
      </c>
      <c r="E77" s="161">
        <f t="shared" si="5"/>
        <v>0</v>
      </c>
      <c r="F77" s="161">
        <f t="shared" si="5"/>
        <v>0</v>
      </c>
      <c r="G77" s="161">
        <f t="shared" si="5"/>
        <v>0</v>
      </c>
      <c r="H77" s="161">
        <f t="shared" si="5"/>
        <v>0</v>
      </c>
    </row>
    <row r="78" spans="1:8" ht="12.75">
      <c r="A78" s="101"/>
      <c r="B78" s="101"/>
      <c r="C78" s="101"/>
      <c r="D78" s="101"/>
      <c r="E78" s="101"/>
      <c r="F78" s="101"/>
      <c r="G78" s="101"/>
      <c r="H78" s="101"/>
    </row>
    <row r="79" spans="1:8" ht="12.75">
      <c r="A79" s="198" t="s">
        <v>331</v>
      </c>
      <c r="B79" s="144"/>
      <c r="C79" s="161">
        <f aca="true" t="shared" si="6" ref="C79:H79">+C25+C34+C43+C52+C61+C70+C27+C36+C45+C54+C63+C72</f>
        <v>0</v>
      </c>
      <c r="D79" s="161">
        <f t="shared" si="6"/>
        <v>0</v>
      </c>
      <c r="E79" s="161">
        <f t="shared" si="6"/>
        <v>0</v>
      </c>
      <c r="F79" s="161">
        <f t="shared" si="6"/>
        <v>0</v>
      </c>
      <c r="G79" s="161">
        <f t="shared" si="6"/>
        <v>0</v>
      </c>
      <c r="H79" s="161">
        <f t="shared" si="6"/>
        <v>0</v>
      </c>
    </row>
    <row r="80" spans="1:8" ht="12.75">
      <c r="A80" s="198" t="s">
        <v>196</v>
      </c>
      <c r="B80" s="144"/>
      <c r="C80" s="161">
        <f aca="true" t="shared" si="7" ref="C80:H80">+C26+C35+C44+C53+C62+C71</f>
        <v>0</v>
      </c>
      <c r="D80" s="161">
        <f t="shared" si="7"/>
        <v>0</v>
      </c>
      <c r="E80" s="161">
        <f t="shared" si="7"/>
        <v>0</v>
      </c>
      <c r="F80" s="161">
        <f t="shared" si="7"/>
        <v>0</v>
      </c>
      <c r="G80" s="161">
        <f t="shared" si="7"/>
        <v>0</v>
      </c>
      <c r="H80" s="161">
        <f t="shared" si="7"/>
        <v>0</v>
      </c>
    </row>
    <row r="82" spans="5:8" ht="12.75">
      <c r="E82" s="215"/>
      <c r="F82" s="215"/>
      <c r="G82" s="215"/>
      <c r="H82" s="215"/>
    </row>
  </sheetData>
  <sheetProtection password="8618" sheet="1" objects="1" scenarios="1"/>
  <mergeCells count="2">
    <mergeCell ref="A4:H4"/>
    <mergeCell ref="A18:B18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Marta Miraldes</cp:lastModifiedBy>
  <cp:lastPrinted>2007-04-30T14:45:26Z</cp:lastPrinted>
  <dcterms:created xsi:type="dcterms:W3CDTF">2004-06-30T10:12:30Z</dcterms:created>
  <dcterms:modified xsi:type="dcterms:W3CDTF">2007-07-12T16:39:09Z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